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TASA PASIVA" sheetId="1" r:id="rId1"/>
    <sheet name="TASAS ACTIVAS" sheetId="2" r:id="rId2"/>
    <sheet name="PROMEDIO" sheetId="3" r:id="rId3"/>
  </sheets>
  <definedNames>
    <definedName name="_xlnm.Print_Area" localSheetId="2">'PROMEDIO'!$A$16:$G$375</definedName>
    <definedName name="_xlnm.Print_Area" localSheetId="0">'TASA PASIVA'!$A$10:$F$186</definedName>
    <definedName name="_xlnm.Print_Area" localSheetId="1">'TASAS ACTIVAS'!$A$1:$K$60</definedName>
    <definedName name="Titulos_a_imprimir">'PROMEDIO'!$A$1:$H$15</definedName>
    <definedName name="_xlnm.Print_Titles" localSheetId="2">'PROMEDIO'!$1:$15</definedName>
    <definedName name="_xlnm.Print_Titles" localSheetId="0">'TASA PASIVA'!$2:$9</definedName>
  </definedNames>
  <calcPr fullCalcOnLoad="1"/>
</workbook>
</file>

<file path=xl/sharedStrings.xml><?xml version="1.0" encoding="utf-8"?>
<sst xmlns="http://schemas.openxmlformats.org/spreadsheetml/2006/main" count="553" uniqueCount="68">
  <si>
    <t>DESDE</t>
  </si>
  <si>
    <t>HASTA</t>
  </si>
  <si>
    <t>ACTIVA</t>
  </si>
  <si>
    <t>PASIVA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</si>
  <si>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</si>
  <si>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</si>
  <si>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</si>
  <si>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</si>
  <si>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</si>
  <si>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</si>
  <si>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</si>
  <si>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</si>
  <si>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</si>
  <si>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</si>
  <si>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</si>
  <si>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</si>
  <si>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</si>
  <si>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Enero</t>
  </si>
  <si>
    <t>----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</si>
  <si>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</si>
  <si>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</si>
  <si>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</si>
  <si>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</si>
  <si>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</si>
  <si>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</si>
  <si>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</si>
  <si>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</si>
  <si>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</si>
  <si>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</si>
  <si>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</si>
  <si>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Septiembre</t>
  </si>
  <si>
    <t>---</t>
  </si>
  <si>
    <t>AÑO</t>
  </si>
  <si>
    <t>MES</t>
  </si>
  <si>
    <t>PROMEDIO</t>
  </si>
  <si>
    <t>TASAS B.N.A.</t>
  </si>
  <si>
    <t xml:space="preserve">FUENTE: </t>
  </si>
  <si>
    <t>(Tasa Activa Promedio Mensual p/ Operaciones de Descuento de Documentos a 30 Días, Vencida)</t>
  </si>
  <si>
    <t>T. MENSUAL</t>
  </si>
  <si>
    <t>( Promedio Simple de Tasas Promedio Mensuales Ponderadas - Activas y Pasivas / BNA)</t>
  </si>
  <si>
    <t>Elaboración Propia</t>
  </si>
  <si>
    <t>DESTINO:</t>
  </si>
  <si>
    <t>Para uso de Colegiados, Matriculados y Público en General</t>
  </si>
  <si>
    <t>T.ANUAL</t>
  </si>
  <si>
    <t>s/d</t>
  </si>
  <si>
    <t>PROMEDIO MENSUAL (PONDERADO) / Tasas PASIVAS BNA</t>
  </si>
  <si>
    <t>PROMEDIO MENSUAL</t>
  </si>
  <si>
    <t>CUADRO 2: DETALLE DE  TASAS ACTIVAS PROMEDIO - B.N.A.</t>
  </si>
  <si>
    <t>CUADRO 3: PROMEDIO DE TASAS ACTIVAS Y PASIVAS   - BCO. NACIÓN ARG.</t>
  </si>
  <si>
    <t>SIMPLE</t>
  </si>
  <si>
    <t>ACTUALIZADO AL :</t>
  </si>
  <si>
    <t>AL</t>
  </si>
  <si>
    <t>ACTUALIZADO</t>
  </si>
  <si>
    <t>Banco de la Nación Argentina</t>
  </si>
  <si>
    <t>www.ambito.com</t>
  </si>
  <si>
    <t>www.bna.com.ar</t>
  </si>
  <si>
    <t>(Economía→Banco de Datos→ Indices Financ.)</t>
  </si>
  <si>
    <t>(Economía→Banco de Datos→ Indices Financieros)</t>
  </si>
  <si>
    <t>CUADRO 1: DETALLE DE TASAS PASIVAS-PLAZO FIJO-B.N.A.</t>
  </si>
  <si>
    <t>www.consejo.org.ar</t>
  </si>
  <si>
    <t>(HerramientasProfesionales→Utilidades)</t>
  </si>
  <si>
    <t>(InformaciónAlUsuarioFinanciero→Tasas)</t>
  </si>
  <si>
    <t xml:space="preserve">FUENTE 2:Diario Ambito Financiero </t>
  </si>
  <si>
    <t>FUENTE 1:BNA  www.bna.com.ar (InformaciónAlUsuarioFinanciero/Tasas)</t>
  </si>
  <si>
    <r>
      <t>(</t>
    </r>
    <r>
      <rPr>
        <sz val="10"/>
        <rFont val="Arial"/>
        <family val="2"/>
      </rPr>
      <t>Depósitos a Plazo Fijo Pesos</t>
    </r>
    <r>
      <rPr>
        <b/>
        <sz val="10"/>
        <rFont val="Arial"/>
        <family val="2"/>
      </rPr>
      <t xml:space="preserve"> - Tasas por Sucursal - </t>
    </r>
    <r>
      <rPr>
        <sz val="10"/>
        <rFont val="Arial"/>
        <family val="2"/>
      </rPr>
      <t>De 30 a 35 días</t>
    </r>
    <r>
      <rPr>
        <b/>
        <sz val="10"/>
        <rFont val="Arial"/>
        <family val="2"/>
      </rPr>
      <t>)</t>
    </r>
  </si>
  <si>
    <t>FUENTE 1:   CPCE-CABA</t>
  </si>
  <si>
    <t xml:space="preserve">FUENTE 2: </t>
  </si>
  <si>
    <t xml:space="preserve">FUENTE 3:   Diario Ambito Financiero 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</si>
</sst>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  <numFmt numFmtId="181" formatCode="0.00000000000"/>
    <numFmt numFmtId="182" formatCode="0.000000000000"/>
    <numFmt numFmtId="183" formatCode="&quot;$&quot;\ #,##0.00"/>
    <numFmt numFmtId="184" formatCode="&quot;$&quot;#,##0.00"/>
    <numFmt numFmtId="185" formatCode="0.0%"/>
    <numFmt numFmtId="186" formatCode="0.000%"/>
    <numFmt numFmtId="187" formatCode="[$-2C0A]dddd\,\ dd&quot; de &quot;mmmm&quot; de &quot;yyyy"/>
    <numFmt numFmtId="188" formatCode="0.000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/yy;@"/>
    <numFmt numFmtId="194" formatCode="_ * #,##0.0_ ;_ * \-#,##0.0_ ;_ * &quot;-&quot;??_ ;_ @_ "/>
    <numFmt numFmtId="195" formatCode="_ * #,##0_ ;_ * \-#,##0_ ;_ * &quot;-&quot;??_ ;_ @_ "/>
    <numFmt numFmtId="196" formatCode="_ * #,##0.000_ ;_ * \-#,##0.000_ ;_ * &quot;-&quot;??_ ;_ @_ "/>
    <numFmt numFmtId="197" formatCode="_ * #,##0.0000_ ;_ * \-#,##0.0000_ ;_ * &quot;-&quot;??_ ;_ @_ "/>
    <numFmt numFmtId="198" formatCode="[$-2C0A]hh:mm:ss\ AM/PM"/>
  </numFmts>
  <fonts count="5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2"/>
      <name val="Arial Narrow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i/>
      <sz val="8"/>
      <color indexed="12"/>
      <name val="Arial"/>
      <family val="2"/>
    </font>
    <font>
      <i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33"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86" fontId="0" fillId="0" borderId="0" xfId="55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55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86" fontId="0" fillId="0" borderId="0" xfId="5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0" xfId="55" applyNumberFormat="1" applyFont="1" applyAlignment="1">
      <alignment/>
    </xf>
    <xf numFmtId="10" fontId="0" fillId="0" borderId="10" xfId="55" applyNumberFormat="1" applyFont="1" applyBorder="1" applyAlignment="1">
      <alignment/>
    </xf>
    <xf numFmtId="10" fontId="0" fillId="0" borderId="0" xfId="55" applyNumberFormat="1" applyFont="1" applyFill="1" applyAlignment="1">
      <alignment/>
    </xf>
    <xf numFmtId="186" fontId="0" fillId="0" borderId="0" xfId="55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0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186" fontId="0" fillId="0" borderId="0" xfId="55" applyNumberFormat="1" applyFont="1" applyFill="1" applyBorder="1" applyAlignment="1">
      <alignment/>
    </xf>
    <xf numFmtId="186" fontId="0" fillId="0" borderId="0" xfId="55" applyNumberFormat="1" applyFont="1" applyFill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17" fontId="3" fillId="0" borderId="16" xfId="0" applyNumberFormat="1" applyFont="1" applyBorder="1" applyAlignment="1">
      <alignment/>
    </xf>
    <xf numFmtId="186" fontId="0" fillId="0" borderId="17" xfId="55" applyNumberFormat="1" applyFont="1" applyBorder="1" applyAlignment="1">
      <alignment/>
    </xf>
    <xf numFmtId="186" fontId="0" fillId="0" borderId="17" xfId="55" applyNumberFormat="1" applyFont="1" applyFill="1" applyBorder="1" applyAlignment="1">
      <alignment/>
    </xf>
    <xf numFmtId="1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18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86" fontId="0" fillId="0" borderId="0" xfId="55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186" fontId="0" fillId="0" borderId="12" xfId="55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186" fontId="0" fillId="0" borderId="12" xfId="55" applyNumberFormat="1" applyFont="1" applyFill="1" applyBorder="1" applyAlignment="1">
      <alignment/>
    </xf>
    <xf numFmtId="186" fontId="0" fillId="0" borderId="12" xfId="55" applyNumberFormat="1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55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1" fillId="0" borderId="0" xfId="0" applyFont="1" applyAlignment="1">
      <alignment horizontal="centerContinuous"/>
    </xf>
    <xf numFmtId="186" fontId="0" fillId="0" borderId="12" xfId="55" applyNumberFormat="1" applyFont="1" applyBorder="1" applyAlignment="1">
      <alignment/>
    </xf>
    <xf numFmtId="186" fontId="0" fillId="0" borderId="0" xfId="55" applyNumberFormat="1" applyFont="1" applyFill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86" fontId="12" fillId="0" borderId="0" xfId="55" applyNumberFormat="1" applyFont="1" applyFill="1" applyAlignment="1">
      <alignment/>
    </xf>
    <xf numFmtId="17" fontId="12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2" fillId="0" borderId="0" xfId="55" applyNumberFormat="1" applyFont="1" applyAlignment="1">
      <alignment/>
    </xf>
    <xf numFmtId="10" fontId="12" fillId="0" borderId="0" xfId="0" applyNumberFormat="1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186" fontId="12" fillId="0" borderId="0" xfId="0" applyNumberFormat="1" applyFont="1" applyBorder="1" applyAlignment="1" quotePrefix="1">
      <alignment/>
    </xf>
    <xf numFmtId="10" fontId="12" fillId="0" borderId="0" xfId="55" applyNumberFormat="1" applyFont="1" applyBorder="1" applyAlignment="1">
      <alignment/>
    </xf>
    <xf numFmtId="10" fontId="12" fillId="0" borderId="12" xfId="55" applyNumberFormat="1" applyFont="1" applyBorder="1" applyAlignment="1">
      <alignment/>
    </xf>
    <xf numFmtId="10" fontId="12" fillId="0" borderId="0" xfId="55" applyNumberFormat="1" applyFont="1" applyFill="1" applyBorder="1" applyAlignment="1">
      <alignment/>
    </xf>
    <xf numFmtId="10" fontId="12" fillId="0" borderId="12" xfId="55" applyNumberFormat="1" applyFont="1" applyFill="1" applyBorder="1" applyAlignment="1">
      <alignment/>
    </xf>
    <xf numFmtId="17" fontId="3" fillId="0" borderId="21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93" fontId="14" fillId="0" borderId="0" xfId="0" applyNumberFormat="1" applyFont="1" applyAlignment="1">
      <alignment/>
    </xf>
    <xf numFmtId="186" fontId="3" fillId="0" borderId="0" xfId="55" applyNumberFormat="1" applyFont="1" applyFill="1" applyAlignment="1">
      <alignment/>
    </xf>
    <xf numFmtId="0" fontId="7" fillId="0" borderId="0" xfId="46" applyAlignment="1" applyProtection="1">
      <alignment/>
      <protection/>
    </xf>
    <xf numFmtId="186" fontId="0" fillId="0" borderId="0" xfId="55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14" fontId="15" fillId="0" borderId="0" xfId="0" applyNumberFormat="1" applyFont="1" applyAlignment="1">
      <alignment/>
    </xf>
    <xf numFmtId="14" fontId="15" fillId="0" borderId="0" xfId="0" applyNumberFormat="1" applyFont="1" applyFill="1" applyAlignment="1">
      <alignment/>
    </xf>
    <xf numFmtId="186" fontId="12" fillId="0" borderId="12" xfId="55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77" fontId="2" fillId="0" borderId="0" xfId="0" applyNumberFormat="1" applyFont="1" applyBorder="1" applyAlignment="1">
      <alignment horizontal="center" wrapText="1"/>
    </xf>
    <xf numFmtId="186" fontId="0" fillId="0" borderId="0" xfId="55" applyNumberFormat="1" applyFont="1" applyAlignment="1">
      <alignment/>
    </xf>
    <xf numFmtId="177" fontId="17" fillId="0" borderId="0" xfId="0" applyNumberFormat="1" applyFont="1" applyBorder="1" applyAlignment="1">
      <alignment horizontal="center" wrapText="1"/>
    </xf>
    <xf numFmtId="177" fontId="18" fillId="0" borderId="0" xfId="0" applyNumberFormat="1" applyFont="1" applyBorder="1" applyAlignment="1">
      <alignment horizontal="center" wrapText="1"/>
    </xf>
    <xf numFmtId="177" fontId="12" fillId="0" borderId="0" xfId="55" applyNumberFormat="1" applyFont="1" applyAlignment="1">
      <alignment horizontal="center"/>
    </xf>
    <xf numFmtId="177" fontId="12" fillId="0" borderId="12" xfId="55" applyNumberFormat="1" applyFont="1" applyBorder="1" applyAlignment="1">
      <alignment horizontal="center"/>
    </xf>
    <xf numFmtId="186" fontId="0" fillId="0" borderId="12" xfId="55" applyNumberFormat="1" applyFont="1" applyBorder="1" applyAlignment="1">
      <alignment/>
    </xf>
    <xf numFmtId="177" fontId="12" fillId="0" borderId="0" xfId="55" applyNumberFormat="1" applyFont="1" applyBorder="1" applyAlignment="1">
      <alignment horizontal="center"/>
    </xf>
    <xf numFmtId="177" fontId="12" fillId="0" borderId="18" xfId="55" applyNumberFormat="1" applyFont="1" applyBorder="1" applyAlignment="1">
      <alignment horizontal="center"/>
    </xf>
    <xf numFmtId="186" fontId="12" fillId="0" borderId="0" xfId="55" applyNumberFormat="1" applyFont="1" applyBorder="1" applyAlignment="1">
      <alignment/>
    </xf>
    <xf numFmtId="186" fontId="0" fillId="0" borderId="0" xfId="55" applyNumberFormat="1" applyFont="1" applyBorder="1" applyAlignment="1">
      <alignment/>
    </xf>
    <xf numFmtId="186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177" fontId="12" fillId="0" borderId="0" xfId="49" applyNumberFormat="1" applyFont="1" applyAlignment="1">
      <alignment horizontal="center"/>
    </xf>
    <xf numFmtId="17" fontId="19" fillId="0" borderId="0" xfId="0" applyNumberFormat="1" applyFont="1" applyAlignment="1">
      <alignment/>
    </xf>
    <xf numFmtId="10" fontId="12" fillId="0" borderId="0" xfId="55" applyNumberFormat="1" applyFont="1" applyFill="1" applyBorder="1" applyAlignment="1">
      <alignment/>
    </xf>
    <xf numFmtId="186" fontId="19" fillId="0" borderId="0" xfId="55" applyNumberFormat="1" applyFont="1" applyFill="1" applyAlignment="1">
      <alignment/>
    </xf>
    <xf numFmtId="177" fontId="12" fillId="0" borderId="0" xfId="55" applyNumberFormat="1" applyFont="1" applyFill="1" applyBorder="1" applyAlignment="1">
      <alignment horizontal="center"/>
    </xf>
    <xf numFmtId="177" fontId="12" fillId="0" borderId="0" xfId="49" applyNumberFormat="1" applyFont="1" applyFill="1" applyBorder="1" applyAlignment="1">
      <alignment horizontal="center"/>
    </xf>
    <xf numFmtId="177" fontId="2" fillId="35" borderId="0" xfId="0" applyNumberFormat="1" applyFont="1" applyFill="1" applyBorder="1" applyAlignment="1">
      <alignment horizontal="center" wrapText="1"/>
    </xf>
    <xf numFmtId="186" fontId="0" fillId="35" borderId="0" xfId="55" applyNumberFormat="1" applyFont="1" applyFill="1" applyAlignment="1">
      <alignment/>
    </xf>
    <xf numFmtId="10" fontId="12" fillId="35" borderId="0" xfId="55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7" fontId="12" fillId="0" borderId="18" xfId="55" applyNumberFormat="1" applyFont="1" applyFill="1" applyBorder="1" applyAlignment="1">
      <alignment horizontal="center"/>
    </xf>
    <xf numFmtId="177" fontId="12" fillId="0" borderId="17" xfId="55" applyNumberFormat="1" applyFont="1" applyBorder="1" applyAlignment="1">
      <alignment horizontal="center"/>
    </xf>
    <xf numFmtId="177" fontId="20" fillId="36" borderId="17" xfId="55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714375</xdr:colOff>
      <xdr:row>6</xdr:row>
      <xdr:rowOff>19050</xdr:rowOff>
    </xdr:to>
    <xdr:pic>
      <xdr:nvPicPr>
        <xdr:cNvPr id="1" name="Picture 1" descr="CG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38100</xdr:rowOff>
    </xdr:from>
    <xdr:to>
      <xdr:col>5</xdr:col>
      <xdr:colOff>1057275</xdr:colOff>
      <xdr:row>6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714375</xdr:colOff>
      <xdr:row>7</xdr:row>
      <xdr:rowOff>28575</xdr:rowOff>
    </xdr:to>
    <xdr:pic>
      <xdr:nvPicPr>
        <xdr:cNvPr id="1" name="Picture 1" descr="CG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114300</xdr:rowOff>
    </xdr:from>
    <xdr:to>
      <xdr:col>10</xdr:col>
      <xdr:colOff>304800</xdr:colOff>
      <xdr:row>8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31432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714375</xdr:colOff>
      <xdr:row>6</xdr:row>
      <xdr:rowOff>123825</xdr:rowOff>
    </xdr:to>
    <xdr:pic>
      <xdr:nvPicPr>
        <xdr:cNvPr id="1" name="Picture 1" descr="CG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142875</xdr:rowOff>
    </xdr:from>
    <xdr:to>
      <xdr:col>6</xdr:col>
      <xdr:colOff>733425</xdr:colOff>
      <xdr:row>6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4287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bit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ejo.org.ar/" TargetMode="External" /><Relationship Id="rId2" Type="http://schemas.openxmlformats.org/officeDocument/2006/relationships/hyperlink" Target="http://www.bna.com.ar/" TargetMode="External" /><Relationship Id="rId3" Type="http://schemas.openxmlformats.org/officeDocument/2006/relationships/hyperlink" Target="http://www.ambito.com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1"/>
  <sheetViews>
    <sheetView showGridLines="0" zoomScalePageLayoutView="0" workbookViewId="0" topLeftCell="A1">
      <pane ySplit="9" topLeftCell="A173" activePane="bottomLeft" state="frozen"/>
      <selection pane="topLeft" activeCell="A1" sqref="A1"/>
      <selection pane="bottomLeft" activeCell="E184" sqref="E184"/>
    </sheetView>
  </sheetViews>
  <sheetFormatPr defaultColWidth="11.421875" defaultRowHeight="12.75"/>
  <cols>
    <col min="1" max="1" width="11.57421875" style="0" customWidth="1"/>
    <col min="2" max="2" width="15.00390625" style="0" customWidth="1"/>
    <col min="3" max="3" width="14.8515625" style="0" customWidth="1"/>
    <col min="4" max="4" width="15.00390625" style="16" customWidth="1"/>
    <col min="5" max="5" width="14.57421875" style="0" customWidth="1"/>
    <col min="6" max="6" width="16.00390625" style="20" customWidth="1"/>
    <col min="7" max="7" width="3.140625" style="20" customWidth="1"/>
    <col min="8" max="8" width="6.421875" style="0" customWidth="1"/>
    <col min="9" max="9" width="8.28125" style="0" customWidth="1"/>
    <col min="10" max="17" width="7.421875" style="0" customWidth="1"/>
    <col min="18" max="18" width="7.28125" style="0" bestFit="1" customWidth="1"/>
    <col min="19" max="29" width="6.8515625" style="0" customWidth="1"/>
  </cols>
  <sheetData>
    <row r="1" ht="12.75"/>
    <row r="2" ht="15">
      <c r="A2" s="54"/>
    </row>
    <row r="3" spans="1:6" ht="15">
      <c r="A3" s="54" t="s">
        <v>58</v>
      </c>
      <c r="B3" s="54"/>
      <c r="C3" s="55"/>
      <c r="D3" s="56"/>
      <c r="E3" s="55"/>
      <c r="F3" s="57"/>
    </row>
    <row r="4" spans="1:6" ht="12.75">
      <c r="A4" s="58"/>
      <c r="B4" s="4" t="s">
        <v>63</v>
      </c>
      <c r="D4" s="56"/>
      <c r="E4" s="55"/>
      <c r="F4" s="57"/>
    </row>
    <row r="5" spans="1:6" ht="12.75">
      <c r="A5" s="58"/>
      <c r="B5" s="53" t="s">
        <v>64</v>
      </c>
      <c r="E5" s="55"/>
      <c r="F5" s="57"/>
    </row>
    <row r="6" spans="1:6" ht="16.5" customHeight="1">
      <c r="A6" s="61"/>
      <c r="B6" s="4" t="s">
        <v>62</v>
      </c>
      <c r="C6" s="55"/>
      <c r="D6" s="56"/>
      <c r="E6" s="55"/>
      <c r="F6" s="57"/>
    </row>
    <row r="7" spans="1:3" ht="12.75">
      <c r="A7" s="84"/>
      <c r="B7" s="89" t="s">
        <v>54</v>
      </c>
      <c r="C7" s="4" t="s">
        <v>57</v>
      </c>
    </row>
    <row r="8" ht="8.25" customHeight="1"/>
    <row r="9" spans="1:7" ht="13.5" thickBot="1">
      <c r="A9" s="13" t="s">
        <v>0</v>
      </c>
      <c r="B9" s="13" t="s">
        <v>1</v>
      </c>
      <c r="C9" s="13" t="s">
        <v>43</v>
      </c>
      <c r="D9" s="17" t="s">
        <v>38</v>
      </c>
      <c r="E9" s="66" t="s">
        <v>46</v>
      </c>
      <c r="F9" s="21"/>
      <c r="G9" s="27"/>
    </row>
    <row r="10" spans="1:18" ht="12.75">
      <c r="A10" s="1">
        <v>33220</v>
      </c>
      <c r="B10" s="93">
        <f>A11-1</f>
        <v>33240</v>
      </c>
      <c r="C10" s="1" t="s">
        <v>44</v>
      </c>
      <c r="D10" s="16">
        <v>0.07</v>
      </c>
      <c r="E10" s="67"/>
      <c r="F10" s="67"/>
      <c r="H10" s="28" t="s">
        <v>45</v>
      </c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1:18" ht="12.75">
      <c r="A11" s="1">
        <v>33241</v>
      </c>
      <c r="B11" s="93">
        <f aca="true" t="shared" si="0" ref="B11:B74">A12-1</f>
        <v>33245</v>
      </c>
      <c r="C11" s="1" t="s">
        <v>44</v>
      </c>
      <c r="D11" s="16">
        <v>0.08</v>
      </c>
      <c r="E11" s="67"/>
      <c r="F11" s="67"/>
      <c r="H11" s="31"/>
      <c r="I11" s="32">
        <v>1991</v>
      </c>
      <c r="J11" s="32">
        <f>I11+1</f>
        <v>1992</v>
      </c>
      <c r="K11" s="32">
        <f aca="true" t="shared" si="1" ref="K11:Q11">J11+1</f>
        <v>1993</v>
      </c>
      <c r="L11" s="32">
        <f t="shared" si="1"/>
        <v>1994</v>
      </c>
      <c r="M11" s="32">
        <f t="shared" si="1"/>
        <v>1995</v>
      </c>
      <c r="N11" s="32">
        <f t="shared" si="1"/>
        <v>1996</v>
      </c>
      <c r="O11" s="32">
        <f t="shared" si="1"/>
        <v>1997</v>
      </c>
      <c r="P11" s="32">
        <f t="shared" si="1"/>
        <v>1998</v>
      </c>
      <c r="Q11" s="32">
        <f t="shared" si="1"/>
        <v>1999</v>
      </c>
      <c r="R11" s="33">
        <v>2000</v>
      </c>
    </row>
    <row r="12" spans="1:18" ht="12.75">
      <c r="A12" s="1">
        <v>33246</v>
      </c>
      <c r="B12" s="93">
        <f t="shared" si="0"/>
        <v>33246</v>
      </c>
      <c r="C12" s="1" t="s">
        <v>44</v>
      </c>
      <c r="D12" s="16">
        <v>0.085</v>
      </c>
      <c r="E12" s="67"/>
      <c r="F12" s="67"/>
      <c r="H12" s="34" t="s">
        <v>4</v>
      </c>
      <c r="I12" s="25">
        <f>(0.07*2+0.08*5+0.085+0.095*2+0.12*3+0.15+0.165*3+0.16*3+0.15*2+0.13+0.11+0.1*3+0.095*3+0.11)/31</f>
        <v>0.11403225806451613</v>
      </c>
      <c r="J12" s="25">
        <v>0.014</v>
      </c>
      <c r="K12" s="25">
        <v>0.0145</v>
      </c>
      <c r="L12" s="25">
        <v>0.006</v>
      </c>
      <c r="M12" s="10">
        <v>0.0065</v>
      </c>
      <c r="N12" s="25">
        <v>0.0062</v>
      </c>
      <c r="O12" s="25">
        <v>0.0057</v>
      </c>
      <c r="P12" s="10">
        <v>0.0051</v>
      </c>
      <c r="Q12" s="10">
        <v>0.0053</v>
      </c>
      <c r="R12" s="35">
        <v>0.0047</v>
      </c>
    </row>
    <row r="13" spans="1:18" ht="12.75">
      <c r="A13" s="1">
        <v>33247</v>
      </c>
      <c r="B13" s="93">
        <f t="shared" si="0"/>
        <v>33248</v>
      </c>
      <c r="C13" s="1" t="s">
        <v>44</v>
      </c>
      <c r="D13" s="16">
        <v>0.095</v>
      </c>
      <c r="E13" s="67"/>
      <c r="F13" s="67"/>
      <c r="H13" s="34" t="s">
        <v>5</v>
      </c>
      <c r="I13" s="10">
        <f>SUM(3*14%+7*15%+9*17%+5*15.5%+4*14%)/28</f>
        <v>0.15482142857142858</v>
      </c>
      <c r="J13" s="25">
        <v>0.014</v>
      </c>
      <c r="K13" s="25">
        <f>(10*1.45%+18*1.1%)/28</f>
        <v>0.012249999999999999</v>
      </c>
      <c r="L13" s="25">
        <v>0.006</v>
      </c>
      <c r="M13" s="25">
        <f>(8*0.65%+15*0.7%+5*0.82%)/28</f>
        <v>0.00707142857142857</v>
      </c>
      <c r="N13" s="25">
        <f>(12*0.62%+16*0.6%)/28</f>
        <v>0.0060857142857142854</v>
      </c>
      <c r="O13" s="25">
        <f>(3*0.57%+25*0.55%)/28</f>
        <v>0.005521428571428572</v>
      </c>
      <c r="P13" s="10">
        <v>0.0051</v>
      </c>
      <c r="Q13" s="25">
        <v>0.0053</v>
      </c>
      <c r="R13" s="35">
        <v>0.0047</v>
      </c>
    </row>
    <row r="14" spans="1:18" ht="12.75">
      <c r="A14" s="24">
        <v>33249</v>
      </c>
      <c r="B14" s="93">
        <f t="shared" si="0"/>
        <v>33251</v>
      </c>
      <c r="C14" s="1" t="s">
        <v>44</v>
      </c>
      <c r="D14" s="16">
        <v>0.12</v>
      </c>
      <c r="E14" s="67"/>
      <c r="F14" s="67"/>
      <c r="H14" s="34" t="s">
        <v>6</v>
      </c>
      <c r="I14" s="10">
        <f>(4*14%+7*17%+13%+9*10.5%+3*2.75%+7*2.25%)/31</f>
        <v>0.0988709677419355</v>
      </c>
      <c r="J14" s="25">
        <v>0.014</v>
      </c>
      <c r="K14" s="25">
        <f>(12*1.1%+19*1%)/31</f>
        <v>0.010387096774193548</v>
      </c>
      <c r="L14" s="25">
        <v>0.006</v>
      </c>
      <c r="M14" s="10">
        <f>(2*0.82%+10*1.2%+19*1.25%)/31</f>
        <v>0.012061290322580645</v>
      </c>
      <c r="N14" s="25">
        <v>0.006</v>
      </c>
      <c r="O14" s="25">
        <f>(6*0.55%+25*0.5%)/31</f>
        <v>0.0050967741935483875</v>
      </c>
      <c r="P14" s="10">
        <v>0.0051</v>
      </c>
      <c r="Q14" s="25">
        <f>(23*0.53%+8*0.52%)/31</f>
        <v>0.005274193548387096</v>
      </c>
      <c r="R14" s="35">
        <v>0.0047</v>
      </c>
    </row>
    <row r="15" spans="1:18" ht="12.75">
      <c r="A15" s="24">
        <v>33252</v>
      </c>
      <c r="B15" s="93">
        <f t="shared" si="0"/>
        <v>33252</v>
      </c>
      <c r="C15" s="1" t="s">
        <v>44</v>
      </c>
      <c r="D15" s="16">
        <v>0.15</v>
      </c>
      <c r="E15" s="67"/>
      <c r="F15" s="67"/>
      <c r="H15" s="34" t="s">
        <v>7</v>
      </c>
      <c r="I15" s="25">
        <v>0.0183</v>
      </c>
      <c r="J15" s="25">
        <v>0.014</v>
      </c>
      <c r="K15" s="25">
        <v>0.01</v>
      </c>
      <c r="L15" s="25">
        <v>0.006</v>
      </c>
      <c r="M15" s="10">
        <v>0.0125</v>
      </c>
      <c r="N15" s="25">
        <v>0.006</v>
      </c>
      <c r="O15" s="25">
        <v>0.005</v>
      </c>
      <c r="P15" s="10">
        <v>0.0051</v>
      </c>
      <c r="Q15" s="25">
        <f>(13*0.52%+6*0.5%+3*0.49%+3*0.48%+5*0.47%)/30</f>
        <v>0.005006666666666667</v>
      </c>
      <c r="R15" s="35">
        <v>0.0047</v>
      </c>
    </row>
    <row r="16" spans="1:18" ht="12.75">
      <c r="A16" s="24">
        <v>33253</v>
      </c>
      <c r="B16" s="93">
        <f t="shared" si="0"/>
        <v>33255</v>
      </c>
      <c r="C16" s="1" t="s">
        <v>44</v>
      </c>
      <c r="D16" s="16">
        <v>0.165</v>
      </c>
      <c r="E16" s="67"/>
      <c r="F16" s="67"/>
      <c r="H16" s="34" t="s">
        <v>8</v>
      </c>
      <c r="I16" s="25">
        <v>0.01497</v>
      </c>
      <c r="J16" s="25">
        <v>0.014</v>
      </c>
      <c r="K16" s="25">
        <f>(5*1%+26*0.9%)/31</f>
        <v>0.009161290322580647</v>
      </c>
      <c r="L16" s="25">
        <f>(23*0.6%+8*0.55%)/31</f>
        <v>0.005870967741935485</v>
      </c>
      <c r="M16" s="25">
        <f>(15*1.25%+2*1.15%+7*1%+5*0.92%+0.87%+0.82%)/31</f>
        <v>0.011077419354838707</v>
      </c>
      <c r="N16" s="25">
        <f>(27*0.6%+4*0.48%)/31</f>
        <v>0.005845161290322581</v>
      </c>
      <c r="O16" s="25">
        <v>0.005</v>
      </c>
      <c r="P16" s="10">
        <v>0.0051</v>
      </c>
      <c r="Q16" s="10">
        <v>0.0047</v>
      </c>
      <c r="R16" s="35">
        <v>0.0047</v>
      </c>
    </row>
    <row r="17" spans="1:18" ht="12.75">
      <c r="A17" s="24">
        <v>33256</v>
      </c>
      <c r="B17" s="93">
        <f t="shared" si="0"/>
        <v>33258</v>
      </c>
      <c r="C17" s="1" t="s">
        <v>44</v>
      </c>
      <c r="D17" s="16">
        <v>0.16</v>
      </c>
      <c r="E17" s="67"/>
      <c r="F17" s="67"/>
      <c r="H17" s="34" t="s">
        <v>9</v>
      </c>
      <c r="I17" s="25">
        <v>0.017</v>
      </c>
      <c r="J17" s="25">
        <f>(25*1.4%+5*1.3%)/30</f>
        <v>0.013833333333333333</v>
      </c>
      <c r="K17" s="25">
        <v>0.009</v>
      </c>
      <c r="L17" s="25">
        <v>0.0055</v>
      </c>
      <c r="M17" s="10">
        <v>0.0082</v>
      </c>
      <c r="N17" s="25">
        <v>0.0048</v>
      </c>
      <c r="O17" s="25">
        <v>0.005</v>
      </c>
      <c r="P17" s="10">
        <v>0.0051</v>
      </c>
      <c r="Q17" s="10">
        <v>0.0047</v>
      </c>
      <c r="R17" s="36">
        <v>0.0047</v>
      </c>
    </row>
    <row r="18" spans="1:18" ht="12.75">
      <c r="A18" s="24">
        <v>33259</v>
      </c>
      <c r="B18" s="93">
        <f t="shared" si="0"/>
        <v>33260</v>
      </c>
      <c r="C18" s="1" t="s">
        <v>44</v>
      </c>
      <c r="D18" s="16">
        <v>0.15</v>
      </c>
      <c r="E18" s="67"/>
      <c r="F18" s="67"/>
      <c r="H18" s="34" t="s">
        <v>10</v>
      </c>
      <c r="I18" s="25">
        <v>0.017</v>
      </c>
      <c r="J18" s="25">
        <v>0.013</v>
      </c>
      <c r="K18" s="25">
        <v>0.009</v>
      </c>
      <c r="L18" s="25">
        <f>(10*0.55%+21*0.6%)/31</f>
        <v>0.005838709677419355</v>
      </c>
      <c r="M18" s="25">
        <f>(6*0.82%+25*0.78%)/31</f>
        <v>0.007877419354838709</v>
      </c>
      <c r="N18" s="25">
        <v>0.0048</v>
      </c>
      <c r="O18" s="25">
        <v>0.005</v>
      </c>
      <c r="P18" s="10">
        <v>0.0051</v>
      </c>
      <c r="Q18" s="10">
        <v>0.0047</v>
      </c>
      <c r="R18" s="36">
        <v>0.0047</v>
      </c>
    </row>
    <row r="19" spans="1:18" ht="12.75">
      <c r="A19" s="24">
        <v>33261</v>
      </c>
      <c r="B19" s="93">
        <f t="shared" si="0"/>
        <v>33261</v>
      </c>
      <c r="C19" s="1" t="s">
        <v>44</v>
      </c>
      <c r="D19" s="16">
        <v>0.13</v>
      </c>
      <c r="E19" s="67"/>
      <c r="F19" s="67"/>
      <c r="H19" s="34" t="s">
        <v>11</v>
      </c>
      <c r="I19" s="25">
        <v>0.01487</v>
      </c>
      <c r="J19" s="25">
        <v>0.013</v>
      </c>
      <c r="K19" s="25">
        <v>0.009</v>
      </c>
      <c r="L19" s="25">
        <v>0.006</v>
      </c>
      <c r="M19" s="10">
        <v>0.0062</v>
      </c>
      <c r="N19" s="25">
        <f>(13*0.48%+18*0.52%)/31</f>
        <v>0.005032258064516128</v>
      </c>
      <c r="O19" s="25">
        <v>0.005</v>
      </c>
      <c r="P19" s="10">
        <v>0.0051</v>
      </c>
      <c r="Q19" s="10">
        <v>0.0047</v>
      </c>
      <c r="R19" s="36">
        <v>0.0047</v>
      </c>
    </row>
    <row r="20" spans="1:18" ht="12.75">
      <c r="A20" s="24">
        <v>33262</v>
      </c>
      <c r="B20" s="93">
        <f t="shared" si="0"/>
        <v>33262</v>
      </c>
      <c r="C20" s="1" t="s">
        <v>44</v>
      </c>
      <c r="D20" s="16">
        <v>0.11</v>
      </c>
      <c r="E20" s="67"/>
      <c r="F20" s="67"/>
      <c r="H20" s="34" t="s">
        <v>12</v>
      </c>
      <c r="I20" s="25">
        <f>(5*1.2%+25*1.15%)/30</f>
        <v>0.011583333333333333</v>
      </c>
      <c r="J20" s="25">
        <v>0.013</v>
      </c>
      <c r="K20" s="25">
        <f>(19*0.75%+11*0.65%)/30</f>
        <v>0.0071333333333333335</v>
      </c>
      <c r="L20" s="25">
        <v>0.006</v>
      </c>
      <c r="M20" s="10">
        <v>0.0062</v>
      </c>
      <c r="N20" s="25">
        <f>(3*0.52%+27*0.55%)/30</f>
        <v>0.005470000000000001</v>
      </c>
      <c r="O20" s="25">
        <v>0.005</v>
      </c>
      <c r="P20" s="25">
        <v>0.0051</v>
      </c>
      <c r="Q20" s="10">
        <v>0.0047</v>
      </c>
      <c r="R20" s="36">
        <v>0.0047</v>
      </c>
    </row>
    <row r="21" spans="1:18" ht="12.75">
      <c r="A21" s="24">
        <v>33263</v>
      </c>
      <c r="B21" s="93">
        <f t="shared" si="0"/>
        <v>33265</v>
      </c>
      <c r="C21" s="1" t="s">
        <v>44</v>
      </c>
      <c r="D21" s="16">
        <v>0.1</v>
      </c>
      <c r="E21" s="67"/>
      <c r="F21" s="67"/>
      <c r="H21" s="34" t="s">
        <v>13</v>
      </c>
      <c r="I21" s="25">
        <v>0.0115</v>
      </c>
      <c r="J21" s="25">
        <v>0.013</v>
      </c>
      <c r="K21" s="25">
        <f>(14*0.65%+17*0.6%)/31</f>
        <v>0.006225806451612904</v>
      </c>
      <c r="L21" s="25">
        <v>0.006</v>
      </c>
      <c r="M21" s="10">
        <v>0.0062</v>
      </c>
      <c r="N21" s="25">
        <f>(2*0.55%+29*0.59%)/31</f>
        <v>0.005874193548387097</v>
      </c>
      <c r="O21" s="25">
        <v>0.005</v>
      </c>
      <c r="P21" s="25">
        <f>(6*0.51%+25*0.53%)/31</f>
        <v>0.005261290322580646</v>
      </c>
      <c r="Q21" s="10">
        <v>0.0047</v>
      </c>
      <c r="R21" s="36">
        <v>0.0047</v>
      </c>
    </row>
    <row r="22" spans="1:18" ht="12.75">
      <c r="A22" s="24">
        <v>33266</v>
      </c>
      <c r="B22" s="93">
        <f t="shared" si="0"/>
        <v>33268</v>
      </c>
      <c r="C22" s="1" t="s">
        <v>44</v>
      </c>
      <c r="D22" s="16">
        <v>0.095</v>
      </c>
      <c r="E22" s="67"/>
      <c r="F22" s="67"/>
      <c r="H22" s="34" t="s">
        <v>14</v>
      </c>
      <c r="I22" s="10">
        <v>0.0115</v>
      </c>
      <c r="J22" s="10">
        <f>(24*1.3%+6*1.45%)/30</f>
        <v>0.013300000000000001</v>
      </c>
      <c r="K22" s="10">
        <v>0.006</v>
      </c>
      <c r="L22" s="10">
        <v>0.006</v>
      </c>
      <c r="M22" s="10">
        <v>0.0062</v>
      </c>
      <c r="N22" s="25">
        <f>(24*0.59%+7*0.57%)/30</f>
        <v>0.00605</v>
      </c>
      <c r="O22" s="25">
        <f>(14*0.5%+16*0.51%)/30</f>
        <v>0.005053333333333334</v>
      </c>
      <c r="P22" s="10">
        <v>0.0053</v>
      </c>
      <c r="Q22" s="10">
        <v>0.0047</v>
      </c>
      <c r="R22" s="36">
        <v>0.0047</v>
      </c>
    </row>
    <row r="23" spans="1:18" ht="12.75">
      <c r="A23" s="24">
        <v>33269</v>
      </c>
      <c r="B23" s="93">
        <f t="shared" si="0"/>
        <v>33269</v>
      </c>
      <c r="C23" s="1" t="s">
        <v>44</v>
      </c>
      <c r="D23" s="16">
        <v>0.11</v>
      </c>
      <c r="E23" s="68">
        <f>(0.07*2+0.08*5+0.085+0.095*2+0.12*3+0.15+0.165*3+0.16*3+0.15*2+0.13+0.11+0.1*3+0.095*3+0.11)/31</f>
        <v>0.11403225806451613</v>
      </c>
      <c r="F23" s="69">
        <v>33239</v>
      </c>
      <c r="G23" s="23"/>
      <c r="H23" s="34" t="s">
        <v>15</v>
      </c>
      <c r="I23" s="10">
        <f>(3*1.15%+28*1.4%)/31</f>
        <v>0.013758064516129032</v>
      </c>
      <c r="J23" s="10">
        <v>0.0145</v>
      </c>
      <c r="K23" s="10">
        <v>0.006</v>
      </c>
      <c r="L23" s="10">
        <f>(6*0.6%+25*0.65%)/31</f>
        <v>0.006403225806451613</v>
      </c>
      <c r="M23" s="10">
        <v>0.0062</v>
      </c>
      <c r="N23" s="10">
        <v>0.0057</v>
      </c>
      <c r="O23" s="25">
        <v>0.0051</v>
      </c>
      <c r="P23" s="10">
        <v>0.0053</v>
      </c>
      <c r="Q23" s="10">
        <v>0.0047</v>
      </c>
      <c r="R23" s="36">
        <f>(14*0.47%+17*0.65%)/31</f>
        <v>0.005687096774193549</v>
      </c>
    </row>
    <row r="24" spans="1:18" ht="12.75">
      <c r="A24" s="24">
        <v>33270</v>
      </c>
      <c r="B24" s="93">
        <f t="shared" si="0"/>
        <v>33272</v>
      </c>
      <c r="C24" s="1" t="s">
        <v>44</v>
      </c>
      <c r="D24" s="16">
        <v>0.14</v>
      </c>
      <c r="E24" s="70"/>
      <c r="F24" s="67"/>
      <c r="H24" s="37"/>
      <c r="I24" s="7"/>
      <c r="J24" s="7"/>
      <c r="K24" s="7"/>
      <c r="L24" s="7"/>
      <c r="M24" s="7"/>
      <c r="N24" s="7"/>
      <c r="O24" s="7"/>
      <c r="P24" s="7"/>
      <c r="Q24" s="7"/>
      <c r="R24" s="38"/>
    </row>
    <row r="25" spans="1:18" ht="12.75">
      <c r="A25" s="24">
        <v>33273</v>
      </c>
      <c r="B25" s="93">
        <f t="shared" si="0"/>
        <v>33279</v>
      </c>
      <c r="C25" s="1" t="s">
        <v>44</v>
      </c>
      <c r="D25" s="16">
        <v>0.15</v>
      </c>
      <c r="E25" s="70"/>
      <c r="F25" s="67"/>
      <c r="H25" s="37"/>
      <c r="I25" s="7"/>
      <c r="J25" s="7"/>
      <c r="K25" s="7"/>
      <c r="L25" s="7"/>
      <c r="M25" s="7"/>
      <c r="N25" s="7"/>
      <c r="O25" s="7"/>
      <c r="P25" s="7"/>
      <c r="Q25" s="7"/>
      <c r="R25" s="38"/>
    </row>
    <row r="26" spans="1:18" ht="12.75">
      <c r="A26" s="24">
        <v>33280</v>
      </c>
      <c r="B26" s="93">
        <f t="shared" si="0"/>
        <v>33288</v>
      </c>
      <c r="C26" s="1" t="s">
        <v>44</v>
      </c>
      <c r="D26" s="16">
        <v>0.17</v>
      </c>
      <c r="E26" s="70"/>
      <c r="F26" s="67"/>
      <c r="H26" s="39" t="s">
        <v>45</v>
      </c>
      <c r="I26" s="32"/>
      <c r="J26" s="32"/>
      <c r="K26" s="32"/>
      <c r="L26" s="32"/>
      <c r="M26" s="32"/>
      <c r="N26" s="32"/>
      <c r="O26" s="32"/>
      <c r="P26" s="32"/>
      <c r="Q26" s="32"/>
      <c r="R26" s="38"/>
    </row>
    <row r="27" spans="1:18" ht="12.75">
      <c r="A27" s="24">
        <v>33289</v>
      </c>
      <c r="B27" s="93">
        <f t="shared" si="0"/>
        <v>33293</v>
      </c>
      <c r="C27" s="1" t="s">
        <v>44</v>
      </c>
      <c r="D27" s="16">
        <v>0.155</v>
      </c>
      <c r="E27" s="70"/>
      <c r="F27" s="67"/>
      <c r="H27" s="39"/>
      <c r="I27" s="32">
        <f>R11+1</f>
        <v>2001</v>
      </c>
      <c r="J27" s="32">
        <f aca="true" t="shared" si="2" ref="J27:P27">I27+1</f>
        <v>2002</v>
      </c>
      <c r="K27" s="32">
        <f t="shared" si="2"/>
        <v>2003</v>
      </c>
      <c r="L27" s="32">
        <f t="shared" si="2"/>
        <v>2004</v>
      </c>
      <c r="M27" s="32">
        <f t="shared" si="2"/>
        <v>2005</v>
      </c>
      <c r="N27" s="32">
        <f t="shared" si="2"/>
        <v>2006</v>
      </c>
      <c r="O27" s="32">
        <f t="shared" si="2"/>
        <v>2007</v>
      </c>
      <c r="P27" s="32">
        <f t="shared" si="2"/>
        <v>2008</v>
      </c>
      <c r="Q27" s="32">
        <v>2009</v>
      </c>
      <c r="R27" s="33">
        <v>2010</v>
      </c>
    </row>
    <row r="28" spans="1:18" ht="12.75">
      <c r="A28" s="24">
        <v>33294</v>
      </c>
      <c r="B28" s="93">
        <f t="shared" si="0"/>
        <v>33301</v>
      </c>
      <c r="C28" s="1" t="s">
        <v>44</v>
      </c>
      <c r="D28" s="16">
        <v>0.14</v>
      </c>
      <c r="E28" s="71">
        <f>SUM(3*14%+7*15%+9*17%+5*15.5%+4*14%)/28</f>
        <v>0.15482142857142858</v>
      </c>
      <c r="F28" s="69">
        <v>33270</v>
      </c>
      <c r="G28" s="23"/>
      <c r="H28" s="34" t="s">
        <v>4</v>
      </c>
      <c r="I28" s="25">
        <f>(21*0.65%+10*0.54%)/31</f>
        <v>0.006145161290322581</v>
      </c>
      <c r="J28" s="25">
        <f>(18*0.57%+13*0.82%)/31</f>
        <v>0.006748387096774193</v>
      </c>
      <c r="K28" s="25">
        <f>(12*1.64%+19*1.39%)/31</f>
        <v>0.01486774193548387</v>
      </c>
      <c r="L28" s="25">
        <f>(2*0.36%+21*0.29%+8*0.288%)/31</f>
        <v>0.00294</v>
      </c>
      <c r="M28" s="10">
        <v>0.0021</v>
      </c>
      <c r="N28" s="25">
        <v>0.0021</v>
      </c>
      <c r="O28" s="25">
        <f>(28*0.328%+3*0.452%)/31</f>
        <v>0.0034000000000000002</v>
      </c>
      <c r="P28" s="81">
        <v>0.00534</v>
      </c>
      <c r="Q28" s="81">
        <v>0.0074</v>
      </c>
      <c r="R28" s="40">
        <v>0.0074</v>
      </c>
    </row>
    <row r="29" spans="1:18" ht="12.75">
      <c r="A29" s="24">
        <v>33302</v>
      </c>
      <c r="B29" s="93">
        <f t="shared" si="0"/>
        <v>33308</v>
      </c>
      <c r="C29" s="1" t="s">
        <v>44</v>
      </c>
      <c r="D29" s="16">
        <v>0.17</v>
      </c>
      <c r="E29" s="70"/>
      <c r="F29" s="67"/>
      <c r="H29" s="34" t="s">
        <v>5</v>
      </c>
      <c r="I29" s="25">
        <f>(0.54%+13*0.52%+14*0.6%)/28</f>
        <v>0.005607142857142857</v>
      </c>
      <c r="J29" s="25">
        <v>0.0082</v>
      </c>
      <c r="K29" s="25">
        <v>0.0139</v>
      </c>
      <c r="L29" s="25">
        <f>(18*0.288%+10*0.25%)/28</f>
        <v>0.002744285714285714</v>
      </c>
      <c r="M29" s="10">
        <v>0.0021</v>
      </c>
      <c r="N29" s="25">
        <v>0.00288</v>
      </c>
      <c r="O29" s="25">
        <v>0.00452</v>
      </c>
      <c r="P29" s="81">
        <v>0.00534</v>
      </c>
      <c r="Q29" s="81">
        <v>0.0074</v>
      </c>
      <c r="R29" s="40">
        <v>0.0074</v>
      </c>
    </row>
    <row r="30" spans="1:18" ht="12.75">
      <c r="A30" s="24">
        <v>33309</v>
      </c>
      <c r="B30" s="93">
        <f t="shared" si="0"/>
        <v>33309</v>
      </c>
      <c r="C30" s="1" t="s">
        <v>44</v>
      </c>
      <c r="D30" s="16">
        <v>0.13</v>
      </c>
      <c r="E30" s="70"/>
      <c r="F30" s="67"/>
      <c r="H30" s="34" t="s">
        <v>6</v>
      </c>
      <c r="I30" s="25">
        <f>(28*0.6%+3*0.64%)/31</f>
        <v>0.006038709677419355</v>
      </c>
      <c r="J30" s="25">
        <v>0.0082</v>
      </c>
      <c r="K30" s="25">
        <f>(2*1.39%+29*1.64%)/31</f>
        <v>0.016238709677419354</v>
      </c>
      <c r="L30" s="25">
        <f>(30*0.25%+0.23%)/31</f>
        <v>0.002493548387096774</v>
      </c>
      <c r="M30" s="10">
        <v>0.0021</v>
      </c>
      <c r="N30" s="25">
        <v>0.00288</v>
      </c>
      <c r="O30" s="25">
        <v>0.00452</v>
      </c>
      <c r="P30" s="81">
        <v>0.00534</v>
      </c>
      <c r="Q30" s="81">
        <v>0.0074</v>
      </c>
      <c r="R30" s="40">
        <v>0.0074</v>
      </c>
    </row>
    <row r="31" spans="1:18" ht="12.75">
      <c r="A31" s="24">
        <v>33310</v>
      </c>
      <c r="B31" s="93">
        <f t="shared" si="0"/>
        <v>33318</v>
      </c>
      <c r="C31" s="1" t="s">
        <v>44</v>
      </c>
      <c r="D31" s="16">
        <v>0.105</v>
      </c>
      <c r="E31" s="70"/>
      <c r="F31" s="67"/>
      <c r="H31" s="34" t="s">
        <v>7</v>
      </c>
      <c r="I31" s="25">
        <f>(5*0.64%+25*0.64%)/30</f>
        <v>0.0064</v>
      </c>
      <c r="J31" s="25">
        <f>(0.82%+14*1.64%+15*2.46%)/30</f>
        <v>0.020226666666666667</v>
      </c>
      <c r="K31" s="25">
        <f>(28*1.64%+2*1.39%)/30</f>
        <v>0.016233333333333332</v>
      </c>
      <c r="L31" s="10">
        <v>0.0023</v>
      </c>
      <c r="M31" s="10">
        <v>0.0021</v>
      </c>
      <c r="N31" s="25">
        <f>(3*0.288%+27*0.328%)/30</f>
        <v>0.00324</v>
      </c>
      <c r="O31" s="25">
        <v>0.00452</v>
      </c>
      <c r="P31" s="81">
        <v>0.00534</v>
      </c>
      <c r="Q31" s="81">
        <v>0.0074</v>
      </c>
      <c r="R31" s="40">
        <v>0.0074</v>
      </c>
    </row>
    <row r="32" spans="1:18" ht="12.75">
      <c r="A32" s="24">
        <v>33319</v>
      </c>
      <c r="B32" s="93">
        <f t="shared" si="0"/>
        <v>33321</v>
      </c>
      <c r="C32" s="1" t="s">
        <v>44</v>
      </c>
      <c r="D32" s="16">
        <v>0.0275</v>
      </c>
      <c r="E32" s="67"/>
      <c r="F32" s="67"/>
      <c r="H32" s="34" t="s">
        <v>8</v>
      </c>
      <c r="I32" s="10">
        <v>0.0064</v>
      </c>
      <c r="J32" s="25">
        <v>0.0246</v>
      </c>
      <c r="K32" s="25">
        <f>(11*1.39%+10*1.15%+5*1.06%+5*0.84%)/31</f>
        <v>0.011706451612903224</v>
      </c>
      <c r="L32" s="10">
        <v>0.0021</v>
      </c>
      <c r="M32" s="10">
        <v>0.0021</v>
      </c>
      <c r="N32" s="25">
        <v>0.00328</v>
      </c>
      <c r="O32" s="25">
        <v>0.00452</v>
      </c>
      <c r="P32" s="81">
        <v>0.00582</v>
      </c>
      <c r="Q32" s="81">
        <v>0.0074</v>
      </c>
      <c r="R32" s="35">
        <v>0.00707</v>
      </c>
    </row>
    <row r="33" spans="1:18" ht="12.75">
      <c r="A33" s="24">
        <v>33322</v>
      </c>
      <c r="B33" s="93">
        <f t="shared" si="0"/>
        <v>33346</v>
      </c>
      <c r="C33" s="1" t="s">
        <v>44</v>
      </c>
      <c r="D33" s="16">
        <v>0.0225</v>
      </c>
      <c r="E33" s="71">
        <f>(4*14%+7*17%+13%+9*10.5%+3*2.75%+7*2.25%)/31</f>
        <v>0.0988709677419355</v>
      </c>
      <c r="F33" s="69">
        <v>33298</v>
      </c>
      <c r="G33" s="23"/>
      <c r="H33" s="34" t="s">
        <v>9</v>
      </c>
      <c r="I33" s="25">
        <f>(5*0.64%+25*0.64%)/30</f>
        <v>0.0064</v>
      </c>
      <c r="J33" s="25">
        <v>0.0246</v>
      </c>
      <c r="K33" s="25">
        <v>0.0084</v>
      </c>
      <c r="L33" s="10">
        <v>0.0021</v>
      </c>
      <c r="M33" s="10">
        <v>0.0021</v>
      </c>
      <c r="N33" s="25">
        <v>0.00328</v>
      </c>
      <c r="O33" s="25">
        <v>0.00452</v>
      </c>
      <c r="P33" s="81">
        <v>0.00699</v>
      </c>
      <c r="Q33" s="81">
        <v>0.0074</v>
      </c>
      <c r="R33" s="36">
        <v>0.00699</v>
      </c>
    </row>
    <row r="34" spans="1:18" ht="12.75">
      <c r="A34" s="24">
        <v>33347</v>
      </c>
      <c r="B34" s="93">
        <f t="shared" si="0"/>
        <v>33363</v>
      </c>
      <c r="C34" s="1" t="s">
        <v>44</v>
      </c>
      <c r="D34" s="16">
        <v>0.012</v>
      </c>
      <c r="E34" s="71">
        <f>SUM(18*2.25%+12*1.2%)/30</f>
        <v>0.018299999999999997</v>
      </c>
      <c r="F34" s="69">
        <v>33329</v>
      </c>
      <c r="G34" s="23"/>
      <c r="H34" s="34" t="s">
        <v>10</v>
      </c>
      <c r="I34" s="25">
        <f>(30*0.64%+0.68%)/31</f>
        <v>0.006412903225806452</v>
      </c>
      <c r="J34" s="25">
        <v>0.0246</v>
      </c>
      <c r="K34" s="25">
        <f>(22*0.84%+6*0.46%+3*0.42%)/31</f>
        <v>0.007258064516129032</v>
      </c>
      <c r="L34" s="10">
        <v>0.0021</v>
      </c>
      <c r="M34" s="10">
        <v>0.0021</v>
      </c>
      <c r="N34" s="25">
        <v>0.00328</v>
      </c>
      <c r="O34" s="25">
        <v>0.00452</v>
      </c>
      <c r="P34" s="81">
        <v>0.00699</v>
      </c>
      <c r="Q34" s="81">
        <v>0.0074</v>
      </c>
      <c r="R34" s="36">
        <v>0.00699</v>
      </c>
    </row>
    <row r="35" spans="1:18" ht="12.75">
      <c r="A35" s="24">
        <v>33364</v>
      </c>
      <c r="B35" s="93">
        <f t="shared" si="0"/>
        <v>33366</v>
      </c>
      <c r="C35" s="1" t="s">
        <v>44</v>
      </c>
      <c r="D35" s="16">
        <v>0.013</v>
      </c>
      <c r="E35" s="70"/>
      <c r="F35" s="72"/>
      <c r="G35" s="22"/>
      <c r="H35" s="34" t="s">
        <v>11</v>
      </c>
      <c r="I35" s="25">
        <f>(14*0.68%+17*0.77%)/31</f>
        <v>0.007293548387096775</v>
      </c>
      <c r="J35" s="25">
        <v>0.0246</v>
      </c>
      <c r="K35" s="25">
        <v>0.0042</v>
      </c>
      <c r="L35" s="10">
        <v>0.0021</v>
      </c>
      <c r="M35" s="10">
        <v>0.0021</v>
      </c>
      <c r="N35" s="25">
        <v>0.00328</v>
      </c>
      <c r="O35" s="25">
        <f>(23*0.452%+8*0.534%)/31</f>
        <v>0.004731612903225806</v>
      </c>
      <c r="P35" s="81">
        <v>0.00699</v>
      </c>
      <c r="Q35" s="81">
        <v>0.0074</v>
      </c>
      <c r="R35" s="36">
        <v>0.00699</v>
      </c>
    </row>
    <row r="36" spans="1:18" ht="12.75">
      <c r="A36" s="24">
        <v>33367</v>
      </c>
      <c r="B36" s="93">
        <f t="shared" si="0"/>
        <v>33379</v>
      </c>
      <c r="C36" s="1" t="s">
        <v>44</v>
      </c>
      <c r="D36" s="16">
        <v>0.015</v>
      </c>
      <c r="E36" s="70"/>
      <c r="F36" s="72"/>
      <c r="G36" s="22"/>
      <c r="H36" s="34" t="s">
        <v>12</v>
      </c>
      <c r="I36" s="25">
        <v>0.0077</v>
      </c>
      <c r="J36" s="25">
        <f>(17*2.46%+7*4.11%+6*3.28%)/30</f>
        <v>0.03009</v>
      </c>
      <c r="K36" s="25">
        <v>0.00403</v>
      </c>
      <c r="L36" s="10">
        <v>0.0021</v>
      </c>
      <c r="M36" s="10">
        <v>0.0021</v>
      </c>
      <c r="N36" s="25">
        <v>0.00328</v>
      </c>
      <c r="O36" s="25">
        <v>0.00534</v>
      </c>
      <c r="P36" s="81">
        <v>0.00721</v>
      </c>
      <c r="Q36" s="81">
        <v>0.0074</v>
      </c>
      <c r="R36" s="36">
        <v>0.00638</v>
      </c>
    </row>
    <row r="37" spans="1:18" ht="12.75">
      <c r="A37" s="24">
        <v>33380</v>
      </c>
      <c r="B37" s="93">
        <f t="shared" si="0"/>
        <v>33456</v>
      </c>
      <c r="C37" s="1" t="s">
        <v>44</v>
      </c>
      <c r="D37" s="16">
        <v>0.017</v>
      </c>
      <c r="E37" s="71">
        <f>SUM(5*1.2%+3*1.3%+13*1.5%+1.7%*10)/31</f>
        <v>0.014967741935483874</v>
      </c>
      <c r="F37" s="69">
        <v>33359</v>
      </c>
      <c r="G37" s="23"/>
      <c r="H37" s="34" t="s">
        <v>13</v>
      </c>
      <c r="I37" s="25">
        <f>(30*0.62%+0.89%)/31</f>
        <v>0.006287096774193548</v>
      </c>
      <c r="J37" s="25">
        <f>(14*3.28%+7*3.61%+10*2.46%)/31</f>
        <v>0.0309</v>
      </c>
      <c r="K37" s="25">
        <v>0.004</v>
      </c>
      <c r="L37" s="10">
        <v>0.0021</v>
      </c>
      <c r="M37" s="10">
        <v>0.0021</v>
      </c>
      <c r="N37" s="25">
        <v>0.00328</v>
      </c>
      <c r="O37" s="25">
        <v>0.00534</v>
      </c>
      <c r="P37" s="81">
        <v>0.0074</v>
      </c>
      <c r="Q37" s="81">
        <v>0.0074</v>
      </c>
      <c r="R37" s="36">
        <v>0.00616</v>
      </c>
    </row>
    <row r="38" spans="1:18" ht="12.75">
      <c r="A38" s="24">
        <v>33457</v>
      </c>
      <c r="B38" s="93">
        <f t="shared" si="0"/>
        <v>33463</v>
      </c>
      <c r="C38" s="1" t="s">
        <v>44</v>
      </c>
      <c r="D38" s="18">
        <v>0.016</v>
      </c>
      <c r="E38" s="70"/>
      <c r="F38" s="67"/>
      <c r="H38" s="34" t="s">
        <v>14</v>
      </c>
      <c r="I38" s="25">
        <f>(25*0.89%+5*0.66%)/30</f>
        <v>0.008516666666666667</v>
      </c>
      <c r="J38" s="25">
        <f>(10*2.05%+10*1.89%+10*1.64%)/30</f>
        <v>0.0186</v>
      </c>
      <c r="K38" s="25">
        <v>0.00382</v>
      </c>
      <c r="L38" s="10">
        <v>0.0021</v>
      </c>
      <c r="M38" s="10">
        <v>0.0021</v>
      </c>
      <c r="N38" s="25">
        <v>0.00328</v>
      </c>
      <c r="O38" s="25">
        <v>0.00534</v>
      </c>
      <c r="P38" s="81">
        <v>0.0074</v>
      </c>
      <c r="Q38" s="81">
        <v>0.0074</v>
      </c>
      <c r="R38" s="36">
        <v>0.00616</v>
      </c>
    </row>
    <row r="39" spans="1:18" ht="12.75">
      <c r="A39" s="24">
        <v>33464</v>
      </c>
      <c r="B39" s="93">
        <f t="shared" si="0"/>
        <v>33471</v>
      </c>
      <c r="C39" s="1" t="s">
        <v>44</v>
      </c>
      <c r="D39" s="16">
        <v>0.015</v>
      </c>
      <c r="E39" s="70"/>
      <c r="F39" s="67"/>
      <c r="H39" s="34" t="s">
        <v>15</v>
      </c>
      <c r="I39" s="25">
        <f>(17*0.6%+14*0.6%)/31</f>
        <v>0.006</v>
      </c>
      <c r="J39" s="25">
        <v>0.0164</v>
      </c>
      <c r="K39" s="25">
        <v>0.0037</v>
      </c>
      <c r="L39" s="10">
        <v>0.0021</v>
      </c>
      <c r="M39" s="10">
        <v>0.0021</v>
      </c>
      <c r="N39" s="25">
        <v>0.00328</v>
      </c>
      <c r="O39" s="25">
        <v>0.00534</v>
      </c>
      <c r="P39" s="81">
        <v>0.0074</v>
      </c>
      <c r="Q39" s="81">
        <v>0.0074</v>
      </c>
      <c r="R39" s="36">
        <v>0.00616</v>
      </c>
    </row>
    <row r="40" spans="1:18" ht="12.75">
      <c r="A40" s="24">
        <v>33472</v>
      </c>
      <c r="B40" s="93">
        <f t="shared" si="0"/>
        <v>33472</v>
      </c>
      <c r="C40" s="1" t="s">
        <v>44</v>
      </c>
      <c r="D40" s="16">
        <v>0.014</v>
      </c>
      <c r="E40" s="70"/>
      <c r="F40" s="67"/>
      <c r="H40" s="37"/>
      <c r="I40" s="7"/>
      <c r="J40" s="7"/>
      <c r="K40" s="7"/>
      <c r="L40" s="7"/>
      <c r="M40" s="7"/>
      <c r="N40" s="7"/>
      <c r="O40" s="7"/>
      <c r="P40" s="7"/>
      <c r="Q40" s="7"/>
      <c r="R40" s="38"/>
    </row>
    <row r="41" spans="1:18" ht="12.75">
      <c r="A41" s="24">
        <v>33473</v>
      </c>
      <c r="B41" s="93">
        <f t="shared" si="0"/>
        <v>33477</v>
      </c>
      <c r="C41" s="1" t="s">
        <v>44</v>
      </c>
      <c r="D41" s="16">
        <v>0.013</v>
      </c>
      <c r="E41" s="70"/>
      <c r="F41" s="67"/>
      <c r="H41" s="37"/>
      <c r="I41" s="7"/>
      <c r="J41" s="7"/>
      <c r="K41" s="7"/>
      <c r="L41" s="7"/>
      <c r="M41" s="7"/>
      <c r="N41" s="7"/>
      <c r="O41" s="7"/>
      <c r="P41" s="7"/>
      <c r="Q41" s="7"/>
      <c r="R41" s="38"/>
    </row>
    <row r="42" spans="1:18" ht="12.75">
      <c r="A42" s="24">
        <v>33478</v>
      </c>
      <c r="B42" s="93">
        <f t="shared" si="0"/>
        <v>33486</v>
      </c>
      <c r="C42" s="1" t="s">
        <v>44</v>
      </c>
      <c r="D42" s="16">
        <v>0.012</v>
      </c>
      <c r="E42" s="71">
        <f>SUM(6*1.7%+7*1.6%+8*1.5%+1.4%+5*1.3%+4*1.2%)/31</f>
        <v>0.014870967741935484</v>
      </c>
      <c r="F42" s="69">
        <v>33451</v>
      </c>
      <c r="G42" s="23"/>
      <c r="H42" s="39" t="s">
        <v>45</v>
      </c>
      <c r="I42" s="32"/>
      <c r="J42" s="32"/>
      <c r="K42" s="32"/>
      <c r="L42" s="32"/>
      <c r="M42" s="32"/>
      <c r="N42" s="32"/>
      <c r="O42" s="32"/>
      <c r="P42" s="32"/>
      <c r="Q42" s="32"/>
      <c r="R42" s="38"/>
    </row>
    <row r="43" spans="1:18" ht="12.75">
      <c r="A43" s="24">
        <v>33487</v>
      </c>
      <c r="B43" s="93">
        <f t="shared" si="0"/>
        <v>33575</v>
      </c>
      <c r="C43" s="1" t="s">
        <v>44</v>
      </c>
      <c r="D43" s="16">
        <v>0.0115</v>
      </c>
      <c r="E43" s="71">
        <f>(5*1.2%+25*1.15%)/30</f>
        <v>0.011583333333333333</v>
      </c>
      <c r="F43" s="69">
        <v>33482</v>
      </c>
      <c r="G43" s="23"/>
      <c r="H43" s="39"/>
      <c r="I43" s="32">
        <v>2011</v>
      </c>
      <c r="J43" s="32">
        <v>2012</v>
      </c>
      <c r="K43" s="32">
        <v>2013</v>
      </c>
      <c r="L43" s="32">
        <v>2014</v>
      </c>
      <c r="M43" s="32">
        <v>2015</v>
      </c>
      <c r="N43" s="32">
        <v>2016</v>
      </c>
      <c r="O43" s="32">
        <v>2017</v>
      </c>
      <c r="P43" s="32">
        <v>2018</v>
      </c>
      <c r="Q43" s="32">
        <v>2019</v>
      </c>
      <c r="R43" s="38"/>
    </row>
    <row r="44" spans="1:18" ht="12.75">
      <c r="A44" s="24">
        <v>33576</v>
      </c>
      <c r="B44" s="93">
        <f t="shared" si="0"/>
        <v>33605</v>
      </c>
      <c r="C44" s="1" t="s">
        <v>44</v>
      </c>
      <c r="D44" s="16">
        <v>0.014</v>
      </c>
      <c r="E44" s="71">
        <f>(3*1.15%+28*1.4%)/31</f>
        <v>0.013758064516129032</v>
      </c>
      <c r="F44" s="69">
        <v>33573</v>
      </c>
      <c r="G44" s="23"/>
      <c r="H44" s="34" t="s">
        <v>4</v>
      </c>
      <c r="I44" s="25">
        <v>0.00616</v>
      </c>
      <c r="J44" s="25">
        <v>0.00616</v>
      </c>
      <c r="K44" s="25">
        <v>0.00699</v>
      </c>
      <c r="L44" s="25">
        <v>0.0074</v>
      </c>
      <c r="M44" s="25">
        <v>0.0074</v>
      </c>
      <c r="N44" s="115">
        <f>(21*2.219%+10*2.055%)/31</f>
        <v>0.02166096774193548</v>
      </c>
      <c r="O44" s="65">
        <f>14.75%/365*30</f>
        <v>0.012123287671232877</v>
      </c>
      <c r="P44" s="71">
        <f>(16*1.603%+15*1.562%)/31</f>
        <v>0.015831612903225805</v>
      </c>
      <c r="Q44" s="71">
        <f>(16*1.603%+15*1.562%)/31</f>
        <v>0.015831612903225805</v>
      </c>
      <c r="R44" s="38"/>
    </row>
    <row r="45" spans="1:18" ht="12.75">
      <c r="A45" s="24">
        <v>33606</v>
      </c>
      <c r="B45" s="93">
        <f t="shared" si="0"/>
        <v>33780</v>
      </c>
      <c r="C45" s="1" t="s">
        <v>44</v>
      </c>
      <c r="D45" s="16">
        <v>0.014</v>
      </c>
      <c r="E45" s="71"/>
      <c r="F45" s="67"/>
      <c r="H45" s="34" t="s">
        <v>5</v>
      </c>
      <c r="I45" s="25">
        <v>0.00616</v>
      </c>
      <c r="J45" s="25">
        <v>0.00616</v>
      </c>
      <c r="K45" s="25">
        <v>0.00699</v>
      </c>
      <c r="L45" s="25">
        <v>0.0074</v>
      </c>
      <c r="M45" s="25">
        <v>0.0074</v>
      </c>
      <c r="N45" s="46">
        <v>0.02054794520547945</v>
      </c>
      <c r="O45" s="65">
        <f>14.75%/365*30</f>
        <v>0.012123287671232877</v>
      </c>
      <c r="P45" s="65">
        <f>19%/365*30</f>
        <v>0.015616438356164383</v>
      </c>
      <c r="Q45" s="81"/>
      <c r="R45" s="38"/>
    </row>
    <row r="46" spans="1:18" ht="12.75">
      <c r="A46" s="24">
        <v>33781</v>
      </c>
      <c r="B46" s="93">
        <f t="shared" si="0"/>
        <v>33932</v>
      </c>
      <c r="C46" s="1" t="s">
        <v>44</v>
      </c>
      <c r="D46" s="16">
        <v>0.013</v>
      </c>
      <c r="E46" s="71">
        <f>(25*1.4%+5*1.3%)/30</f>
        <v>0.013833333333333333</v>
      </c>
      <c r="F46" s="69">
        <v>33756</v>
      </c>
      <c r="G46" s="23"/>
      <c r="H46" s="34" t="s">
        <v>6</v>
      </c>
      <c r="I46" s="25">
        <v>0.00616</v>
      </c>
      <c r="J46" s="25">
        <v>0.00616</v>
      </c>
      <c r="K46" s="25">
        <v>0.00699</v>
      </c>
      <c r="L46" s="25">
        <v>0.0074</v>
      </c>
      <c r="M46" s="25">
        <v>0.0074</v>
      </c>
      <c r="N46" s="115">
        <f>(2*2.055%+29*2.26%)/31</f>
        <v>0.02246774193548387</v>
      </c>
      <c r="O46" s="65">
        <f>14.75%/365*30</f>
        <v>0.012123287671232877</v>
      </c>
      <c r="P46" s="65">
        <f>19%/365*30</f>
        <v>0.015616438356164383</v>
      </c>
      <c r="Q46" s="81"/>
      <c r="R46" s="38"/>
    </row>
    <row r="47" spans="1:18" ht="12.75">
      <c r="A47" s="24">
        <v>33933</v>
      </c>
      <c r="B47" s="93">
        <f t="shared" si="0"/>
        <v>34010</v>
      </c>
      <c r="C47" s="1" t="s">
        <v>44</v>
      </c>
      <c r="D47" s="16">
        <v>0.0145</v>
      </c>
      <c r="E47" s="71">
        <f>(24*1.3%+6*1.45%)/30</f>
        <v>0.013300000000000001</v>
      </c>
      <c r="F47" s="69">
        <v>33909</v>
      </c>
      <c r="G47" s="23"/>
      <c r="H47" s="34" t="s">
        <v>7</v>
      </c>
      <c r="I47" s="25">
        <v>0.00616</v>
      </c>
      <c r="J47" s="25">
        <v>0.00616</v>
      </c>
      <c r="K47" s="25">
        <v>0.00699</v>
      </c>
      <c r="L47" s="25">
        <v>0.0074</v>
      </c>
      <c r="M47" s="25">
        <v>0.0074</v>
      </c>
      <c r="N47" s="46">
        <v>0.022602739726027398</v>
      </c>
      <c r="O47" s="71">
        <f>(16*1.212%+3*1.233%+5*1.253%+6*1.274%)/30</f>
        <v>0.012333333333333333</v>
      </c>
      <c r="P47" s="65">
        <f>19%/365*30</f>
        <v>0.015616438356164383</v>
      </c>
      <c r="Q47" s="81"/>
      <c r="R47" s="38"/>
    </row>
    <row r="48" spans="1:18" ht="12.75">
      <c r="A48" s="24">
        <v>34011</v>
      </c>
      <c r="B48" s="93">
        <f t="shared" si="0"/>
        <v>34040</v>
      </c>
      <c r="C48" s="1" t="s">
        <v>44</v>
      </c>
      <c r="D48" s="16">
        <v>0.011</v>
      </c>
      <c r="E48" s="71">
        <f>(10*1.45%+18*1.1%)/28</f>
        <v>0.012249999999999999</v>
      </c>
      <c r="F48" s="69">
        <v>34001</v>
      </c>
      <c r="G48" s="23"/>
      <c r="H48" s="34" t="s">
        <v>8</v>
      </c>
      <c r="I48" s="25">
        <v>0.00616</v>
      </c>
      <c r="J48" s="25">
        <v>0.00616</v>
      </c>
      <c r="K48" s="115">
        <f>(5*0.699%+26*0.74%)/31</f>
        <v>0.007333870967741935</v>
      </c>
      <c r="L48" s="25">
        <v>0.0074</v>
      </c>
      <c r="M48" s="25">
        <v>0.0074</v>
      </c>
      <c r="N48" s="46">
        <v>0.022602739726027398</v>
      </c>
      <c r="O48" s="65">
        <f>15.5%/365*30</f>
        <v>0.012739726027397261</v>
      </c>
      <c r="P48" s="71">
        <f>(7*1.562%+23*1.644%)/31</f>
        <v>0.015724516129032258</v>
      </c>
      <c r="Q48" s="81"/>
      <c r="R48" s="38"/>
    </row>
    <row r="49" spans="1:18" ht="12.75">
      <c r="A49" s="24">
        <v>34041</v>
      </c>
      <c r="B49" s="93">
        <f t="shared" si="0"/>
        <v>34094</v>
      </c>
      <c r="C49" s="1" t="s">
        <v>44</v>
      </c>
      <c r="D49" s="16">
        <v>0.01</v>
      </c>
      <c r="E49" s="71">
        <f>(12*1.1%+19*1%)/31</f>
        <v>0.010387096774193548</v>
      </c>
      <c r="F49" s="69">
        <v>34029</v>
      </c>
      <c r="G49" s="23"/>
      <c r="H49" s="34" t="s">
        <v>9</v>
      </c>
      <c r="I49" s="25">
        <v>0.00616</v>
      </c>
      <c r="J49" s="25">
        <v>0.00691</v>
      </c>
      <c r="K49" s="25">
        <v>0.0074</v>
      </c>
      <c r="L49" s="25">
        <v>0.0074</v>
      </c>
      <c r="M49" s="25">
        <v>0.0074</v>
      </c>
      <c r="N49" s="115">
        <f>(13*2.26%+7*2.055%+2*1.973%+6*1.932%+2*1.808%)/30</f>
        <v>0.020973</v>
      </c>
      <c r="O49" s="65">
        <f>15.5%/365*30</f>
        <v>0.012739726027397261</v>
      </c>
      <c r="P49" s="65">
        <f>20%/365*30</f>
        <v>0.016438356164383564</v>
      </c>
      <c r="Q49" s="81"/>
      <c r="R49" s="38"/>
    </row>
    <row r="50" spans="1:18" ht="12.75">
      <c r="A50" s="24">
        <v>34095</v>
      </c>
      <c r="B50" s="93">
        <f t="shared" si="0"/>
        <v>34212</v>
      </c>
      <c r="C50" s="1" t="s">
        <v>44</v>
      </c>
      <c r="D50" s="16">
        <v>0.009</v>
      </c>
      <c r="E50" s="71">
        <f>(5*1%+26*0.9%)/31</f>
        <v>0.009161290322580647</v>
      </c>
      <c r="F50" s="69">
        <v>34090</v>
      </c>
      <c r="G50" s="23"/>
      <c r="H50" s="34" t="s">
        <v>10</v>
      </c>
      <c r="I50" s="25">
        <v>0.00616</v>
      </c>
      <c r="J50" s="25">
        <v>0.00699</v>
      </c>
      <c r="K50" s="25">
        <v>0.0074</v>
      </c>
      <c r="L50" s="25">
        <v>0.0074</v>
      </c>
      <c r="M50" s="115">
        <f>(23*0.74%+8*1.938%)/31</f>
        <v>0.010491612903225806</v>
      </c>
      <c r="N50" s="115">
        <f>(4*1.808%+15*1.705%+8*1.603%+4*1.479%)/31</f>
        <v>0.016628064516129033</v>
      </c>
      <c r="O50" s="65">
        <f>15.5%/365*30</f>
        <v>0.012739726027397261</v>
      </c>
      <c r="P50" s="65">
        <f aca="true" t="shared" si="3" ref="P50:P55">20%/365*30</f>
        <v>0.016438356164383564</v>
      </c>
      <c r="Q50" s="81"/>
      <c r="R50" s="38"/>
    </row>
    <row r="51" spans="1:18" ht="12.75">
      <c r="A51" s="24">
        <v>34213</v>
      </c>
      <c r="B51" s="93">
        <f t="shared" si="0"/>
        <v>34231</v>
      </c>
      <c r="C51" s="1" t="s">
        <v>44</v>
      </c>
      <c r="D51" s="16">
        <v>0.0075</v>
      </c>
      <c r="E51" s="71">
        <f>(19*0.75%+11*0.65%)/30</f>
        <v>0.0071333333333333335</v>
      </c>
      <c r="F51" s="69">
        <v>34213</v>
      </c>
      <c r="G51" s="23"/>
      <c r="H51" s="34" t="s">
        <v>11</v>
      </c>
      <c r="I51" s="25">
        <v>0.00616</v>
      </c>
      <c r="J51" s="25">
        <v>0.00699</v>
      </c>
      <c r="K51" s="25">
        <v>0.0074</v>
      </c>
      <c r="L51" s="25">
        <v>0.0074</v>
      </c>
      <c r="M51" s="46">
        <v>0.01938082191780822</v>
      </c>
      <c r="N51" s="115">
        <f>(16*1.479%+15*1.356%)/31</f>
        <v>0.01419483870967742</v>
      </c>
      <c r="O51" s="71">
        <f>(16*1.274%+15*1.356%)/31</f>
        <v>0.013136774193548388</v>
      </c>
      <c r="P51" s="65">
        <f t="shared" si="3"/>
        <v>0.016438356164383564</v>
      </c>
      <c r="Q51" s="81"/>
      <c r="R51" s="38"/>
    </row>
    <row r="52" spans="1:18" ht="12.75">
      <c r="A52" s="24">
        <v>34232</v>
      </c>
      <c r="B52" s="93">
        <f t="shared" si="0"/>
        <v>34256</v>
      </c>
      <c r="C52" s="1" t="s">
        <v>44</v>
      </c>
      <c r="D52" s="16">
        <v>0.0065</v>
      </c>
      <c r="E52" s="71">
        <f>(14*0.65%+17*0.6%)/31</f>
        <v>0.006225806451612904</v>
      </c>
      <c r="F52" s="69">
        <v>34243</v>
      </c>
      <c r="G52" s="23"/>
      <c r="H52" s="34" t="s">
        <v>12</v>
      </c>
      <c r="I52" s="25">
        <v>0.00616</v>
      </c>
      <c r="J52" s="25">
        <v>0.00699</v>
      </c>
      <c r="K52" s="25">
        <v>0.0074</v>
      </c>
      <c r="L52" s="25">
        <v>0.0074</v>
      </c>
      <c r="M52" s="46">
        <v>0.01938082191780822</v>
      </c>
      <c r="N52" s="71">
        <f>(11*1.356%+7*1.295%+12*1.274%)/30</f>
        <v>0.013089666666666666</v>
      </c>
      <c r="O52" s="65">
        <f>16.5%/365*30</f>
        <v>0.013561643835616439</v>
      </c>
      <c r="P52" s="65">
        <f t="shared" si="3"/>
        <v>0.016438356164383564</v>
      </c>
      <c r="Q52" s="81"/>
      <c r="R52" s="38"/>
    </row>
    <row r="53" spans="1:18" ht="12.75">
      <c r="A53" s="24">
        <v>34257</v>
      </c>
      <c r="B53" s="93">
        <f t="shared" si="0"/>
        <v>34477</v>
      </c>
      <c r="C53" s="1" t="s">
        <v>44</v>
      </c>
      <c r="D53" s="16">
        <v>0.006</v>
      </c>
      <c r="E53" s="71"/>
      <c r="F53" s="67"/>
      <c r="H53" s="34" t="s">
        <v>13</v>
      </c>
      <c r="I53" s="25">
        <v>0.00616</v>
      </c>
      <c r="J53" s="25">
        <v>0.00699</v>
      </c>
      <c r="K53" s="25">
        <v>0.0074</v>
      </c>
      <c r="L53" s="25">
        <v>0.0074</v>
      </c>
      <c r="M53" s="115">
        <f>(29*1.938%+2.163%)/30</f>
        <v>0.019455</v>
      </c>
      <c r="N53" s="65">
        <f>15.5%/365*30</f>
        <v>0.012739726027397261</v>
      </c>
      <c r="O53" s="71">
        <f>(10*1.356%+9*1.377%+12*1.459%)/31</f>
        <v>0.014019677419354839</v>
      </c>
      <c r="P53" s="65">
        <f t="shared" si="3"/>
        <v>0.016438356164383564</v>
      </c>
      <c r="Q53" s="81"/>
      <c r="R53" s="38"/>
    </row>
    <row r="54" spans="1:18" ht="12.75">
      <c r="A54" s="24">
        <v>34478</v>
      </c>
      <c r="B54" s="93">
        <f t="shared" si="0"/>
        <v>34525</v>
      </c>
      <c r="C54" s="1" t="s">
        <v>44</v>
      </c>
      <c r="D54" s="16">
        <v>0.0055</v>
      </c>
      <c r="E54" s="71">
        <f>(23*0.6%+8*0.55%)/31</f>
        <v>0.005870967741935485</v>
      </c>
      <c r="F54" s="69">
        <v>34455</v>
      </c>
      <c r="G54" s="23"/>
      <c r="H54" s="34" t="s">
        <v>14</v>
      </c>
      <c r="I54" s="25">
        <v>0.00616</v>
      </c>
      <c r="J54" s="25">
        <v>0.00699</v>
      </c>
      <c r="K54" s="25">
        <v>0.0074</v>
      </c>
      <c r="L54" s="25">
        <v>0.0074</v>
      </c>
      <c r="M54" s="116">
        <v>0.021632876712328768</v>
      </c>
      <c r="N54" s="71">
        <f>(8*1.274%+21*1.233%+1*1.212%)/30</f>
        <v>0.012432333333333333</v>
      </c>
      <c r="O54" s="71">
        <f>(16*1.459%+9*1.5%+5*1.562%)/30</f>
        <v>0.014884666666666666</v>
      </c>
      <c r="P54" s="65">
        <f t="shared" si="3"/>
        <v>0.016438356164383564</v>
      </c>
      <c r="Q54" s="81"/>
      <c r="R54" s="38"/>
    </row>
    <row r="55" spans="1:18" ht="12.75">
      <c r="A55" s="24">
        <v>34526</v>
      </c>
      <c r="B55" s="93">
        <f t="shared" si="0"/>
        <v>34674</v>
      </c>
      <c r="C55" s="1" t="s">
        <v>44</v>
      </c>
      <c r="D55" s="16">
        <v>0.006</v>
      </c>
      <c r="E55" s="71">
        <f>(10*0.55%+21*0.6%)/31</f>
        <v>0.005838709677419355</v>
      </c>
      <c r="F55" s="69">
        <v>34516</v>
      </c>
      <c r="G55" s="23"/>
      <c r="H55" s="34" t="s">
        <v>15</v>
      </c>
      <c r="I55" s="25">
        <v>0.00616</v>
      </c>
      <c r="J55" s="25">
        <v>0.00699</v>
      </c>
      <c r="K55" s="25">
        <v>0.0074</v>
      </c>
      <c r="L55" s="25">
        <v>0.0074</v>
      </c>
      <c r="M55" s="115">
        <f>(17*2.163%+14*2.219%)/31</f>
        <v>0.02188290322580645</v>
      </c>
      <c r="N55" s="65">
        <f>14.75%/365*30</f>
        <v>0.012123287671232877</v>
      </c>
      <c r="O55" s="71">
        <f>(12*1.562%+19*1.603%)/31</f>
        <v>0.015871290322580646</v>
      </c>
      <c r="P55" s="65">
        <f t="shared" si="3"/>
        <v>0.016438356164383564</v>
      </c>
      <c r="Q55" s="81"/>
      <c r="R55" s="38"/>
    </row>
    <row r="56" spans="1:18" ht="12.75">
      <c r="A56" s="24">
        <v>34675</v>
      </c>
      <c r="B56" s="93">
        <f t="shared" si="0"/>
        <v>34738</v>
      </c>
      <c r="C56" s="1" t="s">
        <v>44</v>
      </c>
      <c r="D56" s="16">
        <v>0.0065</v>
      </c>
      <c r="E56" s="71">
        <f>(6*0.6%+25*0.65%)/31</f>
        <v>0.006403225806451613</v>
      </c>
      <c r="F56" s="69">
        <v>34669</v>
      </c>
      <c r="G56" s="23"/>
      <c r="H56" s="34"/>
      <c r="I56" s="7"/>
      <c r="J56" s="7"/>
      <c r="K56" s="7"/>
      <c r="L56" s="7"/>
      <c r="M56" s="7"/>
      <c r="N56" s="7"/>
      <c r="O56" s="7"/>
      <c r="P56" s="7"/>
      <c r="Q56" s="81"/>
      <c r="R56" s="38"/>
    </row>
    <row r="57" spans="1:18" ht="13.5" thickBot="1">
      <c r="A57" s="24">
        <v>34739</v>
      </c>
      <c r="B57" s="93">
        <f t="shared" si="0"/>
        <v>34753</v>
      </c>
      <c r="C57" s="1" t="s">
        <v>44</v>
      </c>
      <c r="D57" s="16">
        <v>0.007</v>
      </c>
      <c r="E57" s="71"/>
      <c r="F57" s="67"/>
      <c r="H57" s="80"/>
      <c r="I57" s="41"/>
      <c r="J57" s="41"/>
      <c r="K57" s="41"/>
      <c r="L57" s="41"/>
      <c r="M57" s="41"/>
      <c r="N57" s="41"/>
      <c r="O57" s="41"/>
      <c r="P57" s="41"/>
      <c r="Q57" s="117"/>
      <c r="R57" s="118"/>
    </row>
    <row r="58" spans="1:8" ht="12.75">
      <c r="A58" s="24">
        <v>34754</v>
      </c>
      <c r="B58" s="93">
        <f t="shared" si="0"/>
        <v>34760</v>
      </c>
      <c r="C58" s="1" t="s">
        <v>44</v>
      </c>
      <c r="D58" s="16">
        <v>0.0082</v>
      </c>
      <c r="E58" s="71">
        <f>(8*0.65%+15*0.7%+5*0.82%)/28</f>
        <v>0.00707142857142857</v>
      </c>
      <c r="F58" s="69">
        <v>34731</v>
      </c>
      <c r="G58" s="23"/>
      <c r="H58" s="2"/>
    </row>
    <row r="59" spans="1:8" ht="12.75">
      <c r="A59" s="24">
        <v>34761</v>
      </c>
      <c r="B59" s="93">
        <f t="shared" si="0"/>
        <v>34770</v>
      </c>
      <c r="C59" s="1" t="s">
        <v>44</v>
      </c>
      <c r="D59" s="16">
        <v>0.012</v>
      </c>
      <c r="E59" s="71"/>
      <c r="F59" s="67"/>
      <c r="H59" s="2"/>
    </row>
    <row r="60" spans="1:12" ht="12.75">
      <c r="A60" s="24">
        <v>34771</v>
      </c>
      <c r="B60" s="93">
        <f t="shared" si="0"/>
        <v>34834</v>
      </c>
      <c r="C60" s="1" t="s">
        <v>44</v>
      </c>
      <c r="D60" s="16">
        <v>0.0125</v>
      </c>
      <c r="E60" s="71">
        <f>(2*0.82%+10*1.2%+19*1.25%)/31</f>
        <v>0.012061290322580645</v>
      </c>
      <c r="F60" s="69">
        <v>34759</v>
      </c>
      <c r="G60" s="23"/>
      <c r="H60" s="2"/>
      <c r="K60" s="85" t="s">
        <v>50</v>
      </c>
      <c r="L60" s="87">
        <f>C186</f>
        <v>43867</v>
      </c>
    </row>
    <row r="61" spans="1:8" ht="12.75">
      <c r="A61" s="24">
        <v>34835</v>
      </c>
      <c r="B61" s="93">
        <f t="shared" si="0"/>
        <v>34836</v>
      </c>
      <c r="C61" s="1" t="s">
        <v>44</v>
      </c>
      <c r="D61" s="16">
        <v>0.0115</v>
      </c>
      <c r="E61" s="71"/>
      <c r="F61" s="67"/>
      <c r="H61" s="2"/>
    </row>
    <row r="62" spans="1:8" ht="12.75">
      <c r="A62" s="24">
        <v>34837</v>
      </c>
      <c r="B62" s="93">
        <f t="shared" si="0"/>
        <v>34843</v>
      </c>
      <c r="C62" s="1" t="s">
        <v>44</v>
      </c>
      <c r="D62" s="16">
        <v>0.01</v>
      </c>
      <c r="E62" s="71"/>
      <c r="F62" s="67"/>
      <c r="H62" s="2"/>
    </row>
    <row r="63" spans="1:8" ht="12.75">
      <c r="A63" s="24">
        <v>34844</v>
      </c>
      <c r="B63" s="93">
        <f t="shared" si="0"/>
        <v>34848</v>
      </c>
      <c r="C63" s="1" t="s">
        <v>44</v>
      </c>
      <c r="D63" s="16">
        <v>0.0092</v>
      </c>
      <c r="E63" s="71">
        <f>(15*1.25%+2*1.15%+7*1%+5*0.92%+0.87%+0.82%)/31</f>
        <v>0.011077419354838707</v>
      </c>
      <c r="F63" s="69">
        <v>34820</v>
      </c>
      <c r="G63" s="23"/>
      <c r="H63" s="2"/>
    </row>
    <row r="64" spans="1:8" ht="12.75">
      <c r="A64" s="24">
        <v>34849</v>
      </c>
      <c r="B64" s="93">
        <f t="shared" si="0"/>
        <v>34849</v>
      </c>
      <c r="C64" s="1" t="s">
        <v>44</v>
      </c>
      <c r="D64" s="16">
        <v>0.0087</v>
      </c>
      <c r="E64" s="71"/>
      <c r="F64" s="67"/>
      <c r="H64" s="2"/>
    </row>
    <row r="65" spans="1:8" ht="12.75">
      <c r="A65" s="24">
        <v>34850</v>
      </c>
      <c r="B65" s="93">
        <f t="shared" si="0"/>
        <v>34886</v>
      </c>
      <c r="C65" s="1" t="s">
        <v>44</v>
      </c>
      <c r="D65" s="16">
        <v>0.0082</v>
      </c>
      <c r="E65" s="71"/>
      <c r="F65" s="67"/>
      <c r="H65" s="2"/>
    </row>
    <row r="66" spans="1:8" ht="12.75">
      <c r="A66" s="24">
        <v>34887</v>
      </c>
      <c r="B66" s="93">
        <f t="shared" si="0"/>
        <v>34914</v>
      </c>
      <c r="C66" s="1" t="s">
        <v>44</v>
      </c>
      <c r="D66" s="16">
        <v>0.0078</v>
      </c>
      <c r="E66" s="71">
        <f>(6*0.82%+25*0.78%)/31</f>
        <v>0.007877419354838709</v>
      </c>
      <c r="F66" s="69">
        <v>34881</v>
      </c>
      <c r="G66" s="23"/>
      <c r="H66" s="2"/>
    </row>
    <row r="67" spans="1:8" ht="12.75">
      <c r="A67" s="24">
        <v>34915</v>
      </c>
      <c r="B67" s="93">
        <f t="shared" si="0"/>
        <v>34928</v>
      </c>
      <c r="C67" s="1" t="s">
        <v>44</v>
      </c>
      <c r="D67" s="16">
        <v>0.0075</v>
      </c>
      <c r="E67" s="71"/>
      <c r="F67" s="67"/>
      <c r="H67" s="2"/>
    </row>
    <row r="68" spans="1:8" ht="12.75">
      <c r="A68" s="24">
        <v>34929</v>
      </c>
      <c r="B68" s="93">
        <f t="shared" si="0"/>
        <v>35107</v>
      </c>
      <c r="C68" s="1" t="s">
        <v>44</v>
      </c>
      <c r="D68" s="16">
        <v>0.0062</v>
      </c>
      <c r="E68" s="71">
        <f>(3*0.78%+14*0.75%+14*0.62%)/31</f>
        <v>0.006941935483870968</v>
      </c>
      <c r="F68" s="69">
        <v>34912</v>
      </c>
      <c r="G68" s="23"/>
      <c r="H68" s="2"/>
    </row>
    <row r="69" spans="1:8" ht="12.75">
      <c r="A69" s="24">
        <v>35108</v>
      </c>
      <c r="B69" s="93">
        <f t="shared" si="0"/>
        <v>35212</v>
      </c>
      <c r="C69" s="1" t="s">
        <v>44</v>
      </c>
      <c r="D69" s="16">
        <v>0.006</v>
      </c>
      <c r="E69" s="71">
        <f>(12*0.62%+16*0.6%)/28</f>
        <v>0.0060857142857142854</v>
      </c>
      <c r="F69" s="69">
        <v>35096</v>
      </c>
      <c r="G69" s="23"/>
      <c r="H69" s="2"/>
    </row>
    <row r="70" spans="1:8" ht="12.75">
      <c r="A70" s="24">
        <v>35213</v>
      </c>
      <c r="B70" s="93">
        <f t="shared" si="0"/>
        <v>35290</v>
      </c>
      <c r="C70" s="1" t="s">
        <v>44</v>
      </c>
      <c r="D70" s="16">
        <v>0.0048</v>
      </c>
      <c r="E70" s="71">
        <f>(27*0.6%+4*0.48%)/31</f>
        <v>0.005845161290322581</v>
      </c>
      <c r="F70" s="69">
        <v>35186</v>
      </c>
      <c r="G70" s="23"/>
      <c r="H70" s="2"/>
    </row>
    <row r="71" spans="1:8" ht="12.75">
      <c r="A71" s="24">
        <v>35291</v>
      </c>
      <c r="B71" s="93">
        <f t="shared" si="0"/>
        <v>35311</v>
      </c>
      <c r="C71" s="1" t="s">
        <v>44</v>
      </c>
      <c r="D71" s="16">
        <v>0.0052</v>
      </c>
      <c r="E71" s="71">
        <f>(13*0.48%+18*0.52%)/31</f>
        <v>0.005032258064516128</v>
      </c>
      <c r="F71" s="69">
        <v>35278</v>
      </c>
      <c r="G71" s="23"/>
      <c r="H71" s="2"/>
    </row>
    <row r="72" spans="1:8" ht="12.75">
      <c r="A72" s="24">
        <v>35312</v>
      </c>
      <c r="B72" s="93">
        <f t="shared" si="0"/>
        <v>35340</v>
      </c>
      <c r="C72" s="1" t="s">
        <v>44</v>
      </c>
      <c r="D72" s="16">
        <v>0.0055</v>
      </c>
      <c r="E72" s="71">
        <f>(3*0.52%+27*0.55%)/30</f>
        <v>0.005470000000000001</v>
      </c>
      <c r="F72" s="69">
        <v>35309</v>
      </c>
      <c r="G72" s="23"/>
      <c r="H72" s="2"/>
    </row>
    <row r="73" spans="1:8" ht="12.75">
      <c r="A73" s="24">
        <v>35341</v>
      </c>
      <c r="B73" s="93">
        <f t="shared" si="0"/>
        <v>35393</v>
      </c>
      <c r="C73" s="1" t="s">
        <v>44</v>
      </c>
      <c r="D73" s="16">
        <v>0.0059</v>
      </c>
      <c r="E73" s="71">
        <f>(2*0.55%+29*0.59%)/31</f>
        <v>0.005874193548387097</v>
      </c>
      <c r="F73" s="69">
        <v>35339</v>
      </c>
      <c r="G73" s="23"/>
      <c r="H73" s="2"/>
    </row>
    <row r="74" spans="1:8" ht="12.75">
      <c r="A74" s="24">
        <v>35394</v>
      </c>
      <c r="B74" s="93">
        <f t="shared" si="0"/>
        <v>35464</v>
      </c>
      <c r="C74" s="1" t="s">
        <v>44</v>
      </c>
      <c r="D74" s="16">
        <v>0.0057</v>
      </c>
      <c r="E74" s="71">
        <f>(24*0.59%+7*0.57%)/30</f>
        <v>0.00605</v>
      </c>
      <c r="F74" s="69">
        <v>35370</v>
      </c>
      <c r="G74" s="23"/>
      <c r="H74" s="2"/>
    </row>
    <row r="75" spans="1:8" ht="12.75">
      <c r="A75" s="24">
        <v>35465</v>
      </c>
      <c r="B75" s="93">
        <f aca="true" t="shared" si="4" ref="B75:B83">A76-1</f>
        <v>35495</v>
      </c>
      <c r="C75" s="1" t="s">
        <v>44</v>
      </c>
      <c r="D75" s="16">
        <v>0.0055</v>
      </c>
      <c r="E75" s="71">
        <f>(3*0.57%+25*0.55%)/28</f>
        <v>0.005521428571428572</v>
      </c>
      <c r="F75" s="69">
        <v>35462</v>
      </c>
      <c r="G75" s="23"/>
      <c r="H75" s="2"/>
    </row>
    <row r="76" spans="1:8" ht="12.75">
      <c r="A76" s="24">
        <v>35496</v>
      </c>
      <c r="B76" s="93">
        <f t="shared" si="4"/>
        <v>35748</v>
      </c>
      <c r="C76" s="1" t="s">
        <v>44</v>
      </c>
      <c r="D76" s="16">
        <v>0.005</v>
      </c>
      <c r="E76" s="71">
        <f>(6*0.55%+25*0.5%)/31</f>
        <v>0.0050967741935483875</v>
      </c>
      <c r="F76" s="69">
        <v>35490</v>
      </c>
      <c r="G76" s="23"/>
      <c r="H76" s="2"/>
    </row>
    <row r="77" spans="1:8" ht="12.75">
      <c r="A77" s="24">
        <v>35749</v>
      </c>
      <c r="B77" s="93">
        <f t="shared" si="4"/>
        <v>36074</v>
      </c>
      <c r="C77" s="1" t="s">
        <v>44</v>
      </c>
      <c r="D77" s="16">
        <v>0.0051</v>
      </c>
      <c r="E77" s="71">
        <f>(14*0.5%+16*0.51%)/30</f>
        <v>0.005053333333333334</v>
      </c>
      <c r="F77" s="69">
        <v>35735</v>
      </c>
      <c r="G77" s="23"/>
      <c r="H77" s="2"/>
    </row>
    <row r="78" spans="1:8" ht="12.75">
      <c r="A78" s="24">
        <v>36075</v>
      </c>
      <c r="B78" s="93">
        <f t="shared" si="4"/>
        <v>36242</v>
      </c>
      <c r="C78" s="1" t="s">
        <v>44</v>
      </c>
      <c r="D78" s="16">
        <v>0.0053</v>
      </c>
      <c r="E78" s="71">
        <f>(6*0.51%+25*0.53%)/31</f>
        <v>0.005261290322580646</v>
      </c>
      <c r="F78" s="69">
        <v>36069</v>
      </c>
      <c r="G78" s="23"/>
      <c r="H78" s="2"/>
    </row>
    <row r="79" spans="1:7" ht="12.75">
      <c r="A79" s="24">
        <v>36243</v>
      </c>
      <c r="B79" s="93">
        <f t="shared" si="4"/>
        <v>36263</v>
      </c>
      <c r="C79" s="1" t="s">
        <v>44</v>
      </c>
      <c r="D79" s="16">
        <v>0.0052</v>
      </c>
      <c r="E79" s="71">
        <f>(23*0.53%+8*0.52%)/31</f>
        <v>0.005274193548387096</v>
      </c>
      <c r="F79" s="69">
        <v>36220</v>
      </c>
      <c r="G79" s="23"/>
    </row>
    <row r="80" spans="1:6" ht="12.75">
      <c r="A80" s="24">
        <v>36264</v>
      </c>
      <c r="B80" s="93">
        <f t="shared" si="4"/>
        <v>36269</v>
      </c>
      <c r="C80" s="1" t="s">
        <v>44</v>
      </c>
      <c r="D80" s="16">
        <v>0.005</v>
      </c>
      <c r="E80" s="71"/>
      <c r="F80" s="67"/>
    </row>
    <row r="81" spans="1:6" ht="12.75">
      <c r="A81" s="24">
        <v>36270</v>
      </c>
      <c r="B81" s="93">
        <f t="shared" si="4"/>
        <v>36272</v>
      </c>
      <c r="C81" s="1" t="s">
        <v>44</v>
      </c>
      <c r="D81" s="16">
        <v>0.0049</v>
      </c>
      <c r="E81" s="71"/>
      <c r="F81" s="67"/>
    </row>
    <row r="82" spans="1:6" ht="12.75">
      <c r="A82" s="24">
        <v>36273</v>
      </c>
      <c r="B82" s="93">
        <f t="shared" si="4"/>
        <v>36275</v>
      </c>
      <c r="C82" s="1" t="s">
        <v>44</v>
      </c>
      <c r="D82" s="16">
        <v>0.0048</v>
      </c>
      <c r="E82" s="71"/>
      <c r="F82" s="67"/>
    </row>
    <row r="83" spans="1:6" ht="12.75">
      <c r="A83" s="24">
        <v>36276</v>
      </c>
      <c r="B83" s="93">
        <f t="shared" si="4"/>
        <v>36874</v>
      </c>
      <c r="C83" s="1" t="s">
        <v>44</v>
      </c>
      <c r="D83" s="16">
        <v>0.0047</v>
      </c>
      <c r="E83" s="71">
        <f>(13*0.52%+6*0.5%+3*0.49%+3*0.48%+5*0.47%)/30</f>
        <v>0.005006666666666667</v>
      </c>
      <c r="F83" s="67"/>
    </row>
    <row r="84" spans="1:6" ht="12.75">
      <c r="A84" s="24">
        <v>36875</v>
      </c>
      <c r="B84" s="93">
        <f aca="true" t="shared" si="5" ref="B84:B145">A85-1</f>
        <v>36912</v>
      </c>
      <c r="C84" s="16">
        <v>0.078</v>
      </c>
      <c r="D84" s="16">
        <v>0.0065</v>
      </c>
      <c r="E84" s="71">
        <f>(14*0.47%+17*0.65%)/31</f>
        <v>0.005687096774193549</v>
      </c>
      <c r="F84" s="67"/>
    </row>
    <row r="85" spans="1:6" ht="12.75">
      <c r="A85" s="24">
        <v>36913</v>
      </c>
      <c r="B85" s="93">
        <f t="shared" si="5"/>
        <v>36923</v>
      </c>
      <c r="C85" s="16">
        <v>0.0655</v>
      </c>
      <c r="D85" s="16">
        <v>0.0054</v>
      </c>
      <c r="E85" s="71">
        <f>(21*0.65%+10*0.54%)/31</f>
        <v>0.006145161290322581</v>
      </c>
      <c r="F85" s="67"/>
    </row>
    <row r="86" spans="1:6" ht="12.75">
      <c r="A86" s="24">
        <v>36924</v>
      </c>
      <c r="B86" s="93">
        <f t="shared" si="5"/>
        <v>36936</v>
      </c>
      <c r="C86" s="16">
        <v>0.0625</v>
      </c>
      <c r="D86" s="16">
        <v>0.0052</v>
      </c>
      <c r="E86" s="71"/>
      <c r="F86" s="67"/>
    </row>
    <row r="87" spans="1:6" ht="12.75">
      <c r="A87" s="24">
        <v>36937</v>
      </c>
      <c r="B87" s="93">
        <f t="shared" si="5"/>
        <v>36978</v>
      </c>
      <c r="C87" s="16">
        <v>0.0725</v>
      </c>
      <c r="D87" s="16">
        <v>0.006</v>
      </c>
      <c r="E87" s="71">
        <f>(0.54%+13*0.52%+14*0.6%)/28</f>
        <v>0.005607142857142857</v>
      </c>
      <c r="F87" s="67"/>
    </row>
    <row r="88" spans="1:6" ht="12.75">
      <c r="A88" s="24">
        <v>36979</v>
      </c>
      <c r="B88" s="93">
        <f t="shared" si="5"/>
        <v>36986</v>
      </c>
      <c r="C88" s="16">
        <v>0.0775</v>
      </c>
      <c r="D88" s="16">
        <v>0.0064</v>
      </c>
      <c r="E88" s="71">
        <f>(28*0.6%+3*0.64%)/31</f>
        <v>0.006038709677419355</v>
      </c>
      <c r="F88" s="67"/>
    </row>
    <row r="89" spans="1:8" ht="12.75">
      <c r="A89" s="24">
        <v>36987</v>
      </c>
      <c r="B89" s="93">
        <f t="shared" si="5"/>
        <v>37102</v>
      </c>
      <c r="C89" s="16">
        <v>0.0775</v>
      </c>
      <c r="D89" s="16">
        <v>0.0064</v>
      </c>
      <c r="E89" s="71">
        <f>(5*0.64%+25*0.64%)/30</f>
        <v>0.0064</v>
      </c>
      <c r="F89" s="69">
        <v>36982</v>
      </c>
      <c r="G89" s="2"/>
      <c r="H89" s="2"/>
    </row>
    <row r="90" spans="1:8" ht="12.75">
      <c r="A90" s="24">
        <v>37103</v>
      </c>
      <c r="B90" s="93">
        <f t="shared" si="5"/>
        <v>37117</v>
      </c>
      <c r="C90" s="16">
        <v>0.0825</v>
      </c>
      <c r="D90" s="16">
        <v>0.0068</v>
      </c>
      <c r="E90" s="71">
        <f>(30*0.64%+0.68%)/31</f>
        <v>0.006412903225806452</v>
      </c>
      <c r="F90" s="69">
        <v>37073</v>
      </c>
      <c r="G90" s="2"/>
      <c r="H90" s="2"/>
    </row>
    <row r="91" spans="1:8" ht="12.75">
      <c r="A91" s="24">
        <v>37118</v>
      </c>
      <c r="B91" s="93">
        <f t="shared" si="5"/>
        <v>37164</v>
      </c>
      <c r="C91" s="16">
        <v>0.0925</v>
      </c>
      <c r="D91" s="16">
        <v>0.0077</v>
      </c>
      <c r="E91" s="71">
        <f>(14*0.68%+17*0.77%)/31</f>
        <v>0.007293548387096775</v>
      </c>
      <c r="F91" s="69">
        <v>37104</v>
      </c>
      <c r="G91" s="2"/>
      <c r="H91" s="2"/>
    </row>
    <row r="92" spans="1:6" ht="12.75">
      <c r="A92" s="24">
        <v>37165</v>
      </c>
      <c r="B92" s="93">
        <f t="shared" si="5"/>
        <v>37194</v>
      </c>
      <c r="C92" s="16">
        <v>0.075</v>
      </c>
      <c r="D92" s="16">
        <v>0.0062</v>
      </c>
      <c r="E92" s="71"/>
      <c r="F92" s="67"/>
    </row>
    <row r="93" spans="1:6" ht="12.75">
      <c r="A93" s="24">
        <v>37195</v>
      </c>
      <c r="B93" s="93">
        <f t="shared" si="5"/>
        <v>37220</v>
      </c>
      <c r="C93" s="16">
        <v>0.1075</v>
      </c>
      <c r="D93" s="16">
        <v>0.0089</v>
      </c>
      <c r="E93" s="71">
        <f>(30*0.62%+0.89%)/31</f>
        <v>0.006287096774193548</v>
      </c>
      <c r="F93" s="67"/>
    </row>
    <row r="94" spans="1:6" ht="12.75">
      <c r="A94" s="24">
        <v>37221</v>
      </c>
      <c r="B94" s="93">
        <f t="shared" si="5"/>
        <v>37225</v>
      </c>
      <c r="C94" s="16">
        <v>0.08</v>
      </c>
      <c r="D94" s="16">
        <v>0.0066</v>
      </c>
      <c r="E94" s="71">
        <f>(25*0.89%+5*0.66%)/30</f>
        <v>0.008516666666666667</v>
      </c>
      <c r="F94" s="67"/>
    </row>
    <row r="95" spans="1:6" ht="12.75">
      <c r="A95" s="24">
        <v>37226</v>
      </c>
      <c r="B95" s="93">
        <f t="shared" si="5"/>
        <v>37242</v>
      </c>
      <c r="C95" s="16">
        <v>0.0725</v>
      </c>
      <c r="D95" s="16">
        <v>0.006</v>
      </c>
      <c r="E95" s="71"/>
      <c r="F95" s="67"/>
    </row>
    <row r="96" spans="1:6" ht="12.75">
      <c r="A96" s="24">
        <v>37243</v>
      </c>
      <c r="B96" s="93">
        <f t="shared" si="5"/>
        <v>37256</v>
      </c>
      <c r="C96" s="16">
        <v>0.0725</v>
      </c>
      <c r="D96" s="16">
        <v>0.006</v>
      </c>
      <c r="E96" s="71">
        <f>(17*0.6%+14*0.6%)/31</f>
        <v>0.006</v>
      </c>
      <c r="F96" s="67"/>
    </row>
    <row r="97" spans="1:6" ht="12.75">
      <c r="A97" s="24">
        <v>37257</v>
      </c>
      <c r="B97" s="93">
        <f t="shared" si="5"/>
        <v>37267</v>
      </c>
      <c r="C97" s="16">
        <v>0.0693</v>
      </c>
      <c r="D97" s="16">
        <v>0.0057</v>
      </c>
      <c r="E97" s="71"/>
      <c r="F97" s="67"/>
    </row>
    <row r="98" spans="1:6" ht="12.75">
      <c r="A98" s="24">
        <v>37268</v>
      </c>
      <c r="B98" s="93">
        <f t="shared" si="5"/>
        <v>37274</v>
      </c>
      <c r="C98" s="16">
        <v>0.0693</v>
      </c>
      <c r="D98" s="16">
        <v>0.0057</v>
      </c>
      <c r="E98" s="71"/>
      <c r="F98" s="67"/>
    </row>
    <row r="99" spans="1:6" ht="12.75">
      <c r="A99" s="24">
        <v>37275</v>
      </c>
      <c r="B99" s="93">
        <f t="shared" si="5"/>
        <v>37347</v>
      </c>
      <c r="C99" s="16">
        <v>0.0997</v>
      </c>
      <c r="D99" s="16">
        <v>0.0082</v>
      </c>
      <c r="E99" s="71">
        <f>(18*0.57%+13*0.82%)/31</f>
        <v>0.006748387096774193</v>
      </c>
      <c r="F99" s="67"/>
    </row>
    <row r="100" spans="1:6" ht="12.75">
      <c r="A100" s="24">
        <v>37348</v>
      </c>
      <c r="B100" s="93">
        <f t="shared" si="5"/>
        <v>37361</v>
      </c>
      <c r="C100" s="16">
        <v>0.1995</v>
      </c>
      <c r="D100" s="16">
        <v>0.0164</v>
      </c>
      <c r="E100" s="71"/>
      <c r="F100" s="67"/>
    </row>
    <row r="101" spans="1:6" ht="12.75">
      <c r="A101" s="24">
        <v>37362</v>
      </c>
      <c r="B101" s="93">
        <f t="shared" si="5"/>
        <v>37516</v>
      </c>
      <c r="C101" s="16">
        <v>0.3</v>
      </c>
      <c r="D101" s="16">
        <v>0.0246</v>
      </c>
      <c r="E101" s="71">
        <f>(0.82%+14*1.64%+15*2.46%)/30</f>
        <v>0.020226666666666667</v>
      </c>
      <c r="F101" s="67"/>
    </row>
    <row r="102" spans="1:6" ht="12.75">
      <c r="A102" s="24">
        <v>37517</v>
      </c>
      <c r="B102" s="93">
        <f t="shared" si="5"/>
        <v>37523</v>
      </c>
      <c r="C102" s="16">
        <v>0.5</v>
      </c>
      <c r="D102" s="16">
        <v>0.0411</v>
      </c>
      <c r="E102" s="71"/>
      <c r="F102" s="67"/>
    </row>
    <row r="103" spans="1:6" ht="12.75">
      <c r="A103" s="24">
        <v>37524</v>
      </c>
      <c r="B103" s="93">
        <f t="shared" si="5"/>
        <v>37543</v>
      </c>
      <c r="C103" s="16">
        <v>0.4</v>
      </c>
      <c r="D103" s="16">
        <v>0.0328</v>
      </c>
      <c r="E103" s="71">
        <f>(17*2.46%+7*4.11%+6*3.28%)/30</f>
        <v>0.03009</v>
      </c>
      <c r="F103" s="67"/>
    </row>
    <row r="104" spans="1:6" ht="12.75">
      <c r="A104" s="24">
        <v>37544</v>
      </c>
      <c r="B104" s="93">
        <f t="shared" si="5"/>
        <v>37550</v>
      </c>
      <c r="C104" s="16">
        <v>0.44</v>
      </c>
      <c r="D104" s="16">
        <v>0.0361</v>
      </c>
      <c r="E104" s="71"/>
      <c r="F104" s="67"/>
    </row>
    <row r="105" spans="1:6" ht="12.75">
      <c r="A105" s="24">
        <v>37551</v>
      </c>
      <c r="B105" s="93">
        <f t="shared" si="5"/>
        <v>37560</v>
      </c>
      <c r="C105" s="16">
        <v>0.3</v>
      </c>
      <c r="D105" s="16">
        <v>0.0246</v>
      </c>
      <c r="E105" s="71">
        <f>(14*3.28%+7*3.61%+10*2.46%)/31</f>
        <v>0.0309</v>
      </c>
      <c r="F105" s="67"/>
    </row>
    <row r="106" spans="1:6" ht="12.75">
      <c r="A106" s="24">
        <v>37561</v>
      </c>
      <c r="B106" s="93">
        <f t="shared" si="5"/>
        <v>37570</v>
      </c>
      <c r="C106" s="16">
        <v>0.25</v>
      </c>
      <c r="D106" s="16">
        <v>0.0205</v>
      </c>
      <c r="E106" s="71"/>
      <c r="F106" s="67"/>
    </row>
    <row r="107" spans="1:6" ht="12.75">
      <c r="A107" s="24">
        <v>37571</v>
      </c>
      <c r="B107" s="93">
        <f t="shared" si="5"/>
        <v>37580</v>
      </c>
      <c r="C107" s="16">
        <v>0.23</v>
      </c>
      <c r="D107" s="16">
        <v>0.0189</v>
      </c>
      <c r="E107" s="71"/>
      <c r="F107" s="67"/>
    </row>
    <row r="108" spans="1:6" ht="12.75">
      <c r="A108" s="24">
        <v>37581</v>
      </c>
      <c r="B108" s="93">
        <f t="shared" si="5"/>
        <v>37633</v>
      </c>
      <c r="C108" s="16">
        <v>0.2</v>
      </c>
      <c r="D108" s="16">
        <v>0.0164</v>
      </c>
      <c r="E108" s="71">
        <f>(10*2.05%+10*1.89%+10*1.64%)/30</f>
        <v>0.0186</v>
      </c>
      <c r="F108" s="67"/>
    </row>
    <row r="109" spans="1:6" ht="12.75">
      <c r="A109" s="24">
        <v>37634</v>
      </c>
      <c r="B109" s="93">
        <f t="shared" si="5"/>
        <v>37682</v>
      </c>
      <c r="C109" s="16">
        <v>0.16</v>
      </c>
      <c r="D109" s="16">
        <v>0.0139</v>
      </c>
      <c r="E109" s="71">
        <f>(12*1.64%+19*1.39%)/31</f>
        <v>0.01486774193548387</v>
      </c>
      <c r="F109" s="67"/>
    </row>
    <row r="110" spans="1:6" ht="12.75">
      <c r="A110" s="24">
        <v>37683</v>
      </c>
      <c r="B110" s="93">
        <f t="shared" si="5"/>
        <v>37739</v>
      </c>
      <c r="C110" s="16">
        <v>0.2</v>
      </c>
      <c r="D110" s="16">
        <v>0.0164</v>
      </c>
      <c r="E110" s="71">
        <f>(2*1.39%+29*1.64%)/31</f>
        <v>0.016238709677419354</v>
      </c>
      <c r="F110" s="67"/>
    </row>
    <row r="111" spans="1:6" ht="12.75">
      <c r="A111" s="24">
        <v>37740</v>
      </c>
      <c r="B111" s="93">
        <f t="shared" si="5"/>
        <v>37752</v>
      </c>
      <c r="C111" s="16">
        <v>0.17</v>
      </c>
      <c r="D111" s="16">
        <v>0.0139</v>
      </c>
      <c r="E111" s="71">
        <f>(28*1.64%+2*1.39%)/30</f>
        <v>0.016233333333333332</v>
      </c>
      <c r="F111" s="67"/>
    </row>
    <row r="112" spans="1:6" ht="12.75">
      <c r="A112" s="24">
        <v>37753</v>
      </c>
      <c r="B112" s="93">
        <f t="shared" si="5"/>
        <v>37762</v>
      </c>
      <c r="C112" s="16">
        <v>0.13</v>
      </c>
      <c r="D112" s="16">
        <v>0.0115</v>
      </c>
      <c r="E112" s="71"/>
      <c r="F112" s="67"/>
    </row>
    <row r="113" spans="1:6" ht="12.75">
      <c r="A113" s="24">
        <v>37763</v>
      </c>
      <c r="B113" s="93">
        <f t="shared" si="5"/>
        <v>37767</v>
      </c>
      <c r="C113" s="16">
        <v>0.12</v>
      </c>
      <c r="D113" s="16">
        <v>0.0106</v>
      </c>
      <c r="E113" s="71"/>
      <c r="F113" s="67"/>
    </row>
    <row r="114" spans="1:6" ht="12.75">
      <c r="A114" s="24">
        <v>37768</v>
      </c>
      <c r="B114" s="93">
        <f t="shared" si="5"/>
        <v>37824</v>
      </c>
      <c r="C114" s="16">
        <v>0.1</v>
      </c>
      <c r="D114" s="16">
        <v>0.0084</v>
      </c>
      <c r="E114" s="71">
        <f>(11*1.39%+10*1.15%+5*1.06%+5*0.84%)/31</f>
        <v>0.011706451612903224</v>
      </c>
      <c r="F114" s="67"/>
    </row>
    <row r="115" spans="1:6" ht="12.75">
      <c r="A115" s="24">
        <v>37825</v>
      </c>
      <c r="B115" s="93">
        <f t="shared" si="5"/>
        <v>37830</v>
      </c>
      <c r="C115" s="16">
        <v>0.055</v>
      </c>
      <c r="D115" s="16">
        <v>0.0046</v>
      </c>
      <c r="E115" s="71"/>
      <c r="F115" s="67"/>
    </row>
    <row r="116" spans="1:6" ht="12.75">
      <c r="A116" s="24">
        <v>37831</v>
      </c>
      <c r="B116" s="93">
        <f t="shared" si="5"/>
        <v>37869</v>
      </c>
      <c r="C116" s="16">
        <v>0.05</v>
      </c>
      <c r="D116" s="16">
        <v>0.0042</v>
      </c>
      <c r="E116" s="71">
        <f>(22*0.84%+6*0.46%+3*0.42%)/31</f>
        <v>0.007258064516129032</v>
      </c>
      <c r="F116" s="67"/>
    </row>
    <row r="117" spans="1:6" ht="12.75">
      <c r="A117" s="24">
        <v>37870</v>
      </c>
      <c r="B117" s="93">
        <f t="shared" si="5"/>
        <v>37928</v>
      </c>
      <c r="C117" s="16">
        <v>0.0475</v>
      </c>
      <c r="D117" s="16">
        <v>0.004</v>
      </c>
      <c r="E117" s="71">
        <f>(5*0.42%+25*0.4%)/30</f>
        <v>0.004033333333333333</v>
      </c>
      <c r="F117" s="67"/>
    </row>
    <row r="118" spans="1:6" ht="12.75">
      <c r="A118" s="24">
        <v>37929</v>
      </c>
      <c r="B118" s="93">
        <f t="shared" si="5"/>
        <v>37971</v>
      </c>
      <c r="C118" s="16">
        <v>0.045</v>
      </c>
      <c r="D118" s="16">
        <v>0.0038</v>
      </c>
      <c r="E118" s="71">
        <f>(3*0.4%+27*0.38%)/30</f>
        <v>0.0038199999999999996</v>
      </c>
      <c r="F118" s="67"/>
    </row>
    <row r="119" spans="1:6" ht="12.75">
      <c r="A119" s="24">
        <v>37972</v>
      </c>
      <c r="B119" s="93">
        <f t="shared" si="5"/>
        <v>37988</v>
      </c>
      <c r="C119" s="16">
        <v>0.0425</v>
      </c>
      <c r="D119" s="16">
        <v>0.0036</v>
      </c>
      <c r="E119" s="71">
        <f>(16*0.38%+15*0.36%)/31</f>
        <v>0.003703225806451613</v>
      </c>
      <c r="F119" s="67"/>
    </row>
    <row r="120" spans="1:6" ht="12.75">
      <c r="A120" s="24">
        <v>37989</v>
      </c>
      <c r="B120" s="93">
        <f t="shared" si="5"/>
        <v>38009</v>
      </c>
      <c r="C120" s="16">
        <v>0.038</v>
      </c>
      <c r="D120" s="16">
        <v>0.0029</v>
      </c>
      <c r="E120" s="67"/>
      <c r="F120" s="67"/>
    </row>
    <row r="121" spans="1:6" ht="12.75">
      <c r="A121" s="24">
        <v>38010</v>
      </c>
      <c r="B121" s="93">
        <f t="shared" si="5"/>
        <v>38035</v>
      </c>
      <c r="C121" s="16">
        <v>0.035</v>
      </c>
      <c r="D121" s="19">
        <v>0.00288</v>
      </c>
      <c r="E121" s="71">
        <f>(2*0.36%+21*0.29%+8*0.288%)/31</f>
        <v>0.00294</v>
      </c>
      <c r="F121" s="67"/>
    </row>
    <row r="122" spans="1:6" ht="12.75">
      <c r="A122" s="24">
        <v>38036</v>
      </c>
      <c r="B122" s="93">
        <f t="shared" si="5"/>
        <v>38076</v>
      </c>
      <c r="C122" s="16">
        <v>0.03</v>
      </c>
      <c r="D122" s="16">
        <v>0.0025</v>
      </c>
      <c r="E122" s="71">
        <f>(18*0.288%+10*0.25%)/28</f>
        <v>0.002744285714285714</v>
      </c>
      <c r="F122" s="67"/>
    </row>
    <row r="123" spans="1:6" ht="12.75">
      <c r="A123" s="24">
        <v>38077</v>
      </c>
      <c r="B123" s="93">
        <f t="shared" si="5"/>
        <v>38107</v>
      </c>
      <c r="C123" s="16">
        <v>0.0275</v>
      </c>
      <c r="D123" s="16">
        <v>0.0023</v>
      </c>
      <c r="E123" s="71">
        <f>(30*0.25%+0.23%)/31</f>
        <v>0.002493548387096774</v>
      </c>
      <c r="F123" s="67"/>
    </row>
    <row r="124" spans="1:6" ht="12.75">
      <c r="A124" s="24">
        <v>38108</v>
      </c>
      <c r="B124" s="93">
        <f t="shared" si="5"/>
        <v>38747</v>
      </c>
      <c r="C124" s="16">
        <v>0.025</v>
      </c>
      <c r="D124" s="16">
        <v>0.0021</v>
      </c>
      <c r="E124" s="71">
        <v>0.0023</v>
      </c>
      <c r="F124" s="67"/>
    </row>
    <row r="125" spans="1:6" ht="12.75">
      <c r="A125" s="24">
        <v>38748</v>
      </c>
      <c r="B125" s="93">
        <f t="shared" si="5"/>
        <v>38810</v>
      </c>
      <c r="C125" s="16">
        <v>0.035</v>
      </c>
      <c r="D125" s="19">
        <v>0.00288</v>
      </c>
      <c r="E125" s="71">
        <f>(3*0.288%+27*0.328%)/30</f>
        <v>0.00324</v>
      </c>
      <c r="F125" s="69">
        <v>38808</v>
      </c>
    </row>
    <row r="126" spans="1:6" ht="12.75">
      <c r="A126" s="24">
        <v>38811</v>
      </c>
      <c r="B126" s="93">
        <f t="shared" si="5"/>
        <v>39110</v>
      </c>
      <c r="C126" s="16">
        <v>0.04</v>
      </c>
      <c r="D126" s="19">
        <v>0.00328</v>
      </c>
      <c r="E126" s="71">
        <f>(28*0.328%+3*0.452%)/31</f>
        <v>0.0034000000000000002</v>
      </c>
      <c r="F126" s="69">
        <v>39083</v>
      </c>
    </row>
    <row r="127" spans="1:6" ht="12.75">
      <c r="A127" s="24">
        <v>39111</v>
      </c>
      <c r="B127" s="93">
        <f t="shared" si="5"/>
        <v>39317</v>
      </c>
      <c r="C127" s="16">
        <v>0.055</v>
      </c>
      <c r="D127" s="19">
        <v>0.00452</v>
      </c>
      <c r="E127" s="71">
        <f>(23*0.452%+8*0.534%)/31</f>
        <v>0.004731612903225806</v>
      </c>
      <c r="F127" s="69">
        <v>39295</v>
      </c>
    </row>
    <row r="128" spans="1:6" ht="12.75">
      <c r="A128" s="24">
        <v>39318</v>
      </c>
      <c r="B128" s="93">
        <f t="shared" si="5"/>
        <v>39590</v>
      </c>
      <c r="C128" s="16">
        <v>0.065</v>
      </c>
      <c r="D128" s="65">
        <f>6.5%/365*30</f>
        <v>0.005342465753424657</v>
      </c>
      <c r="E128" s="71">
        <f>(22*0.534%+9*0.699%)/31</f>
        <v>0.005819032258064516</v>
      </c>
      <c r="F128" s="69">
        <v>39569</v>
      </c>
    </row>
    <row r="129" spans="1:6" ht="12.75">
      <c r="A129" s="1">
        <v>39591</v>
      </c>
      <c r="B129" s="93">
        <f t="shared" si="5"/>
        <v>39705</v>
      </c>
      <c r="C129" s="16">
        <v>0.085</v>
      </c>
      <c r="D129" s="65">
        <f aca="true" t="shared" si="6" ref="D129:D135">C129/365*30</f>
        <v>0.006986301369863015</v>
      </c>
      <c r="E129" s="71">
        <f>(14*0.699%+16*0.74%)/30</f>
        <v>0.007208666666666667</v>
      </c>
      <c r="F129" s="69">
        <v>39692</v>
      </c>
    </row>
    <row r="130" spans="1:6" ht="12.75">
      <c r="A130" s="1">
        <v>39706</v>
      </c>
      <c r="B130" s="93">
        <f t="shared" si="5"/>
        <v>40304</v>
      </c>
      <c r="C130" s="16">
        <v>0.09</v>
      </c>
      <c r="D130" s="65">
        <f t="shared" si="6"/>
        <v>0.0073972602739726025</v>
      </c>
      <c r="E130" s="71">
        <f>(6*0.74%+25*0.699%)/31</f>
        <v>0.007069354838709677</v>
      </c>
      <c r="F130" s="69">
        <v>40299</v>
      </c>
    </row>
    <row r="131" spans="1:6" ht="12.75">
      <c r="A131" s="1">
        <v>40305</v>
      </c>
      <c r="B131" s="93">
        <f t="shared" si="5"/>
        <v>40429</v>
      </c>
      <c r="C131" s="16">
        <v>0.085</v>
      </c>
      <c r="D131" s="65">
        <f t="shared" si="6"/>
        <v>0.006986301369863015</v>
      </c>
      <c r="E131" s="71">
        <f>(8*0.699%+22*0.616%)/30</f>
        <v>0.0063813333333333335</v>
      </c>
      <c r="F131" s="69">
        <v>40422</v>
      </c>
    </row>
    <row r="132" spans="1:6" ht="12.75">
      <c r="A132" s="1">
        <v>40430</v>
      </c>
      <c r="B132" s="93">
        <f t="shared" si="5"/>
        <v>41063</v>
      </c>
      <c r="C132" s="18">
        <v>0.075</v>
      </c>
      <c r="D132" s="65">
        <f t="shared" si="6"/>
        <v>0.0061643835616438354</v>
      </c>
      <c r="E132" s="71">
        <f>(3*0.616%+27*0.699%)/30</f>
        <v>0.006906999999999999</v>
      </c>
      <c r="F132" s="69">
        <v>41061</v>
      </c>
    </row>
    <row r="133" spans="1:6" ht="12.75">
      <c r="A133" s="24">
        <v>41064</v>
      </c>
      <c r="B133" s="94">
        <f t="shared" si="5"/>
        <v>41399</v>
      </c>
      <c r="C133" s="18">
        <v>0.085</v>
      </c>
      <c r="D133" s="65">
        <f t="shared" si="6"/>
        <v>0.006986301369863015</v>
      </c>
      <c r="E133" s="71">
        <f>(5*0.699%+26*0.74%)/31</f>
        <v>0.007333870967741935</v>
      </c>
      <c r="F133" s="69">
        <v>41395</v>
      </c>
    </row>
    <row r="134" spans="1:6" ht="12.75">
      <c r="A134" s="24">
        <v>41400</v>
      </c>
      <c r="B134" s="94">
        <f t="shared" si="5"/>
        <v>42209</v>
      </c>
      <c r="C134" s="18">
        <v>0.09</v>
      </c>
      <c r="D134" s="65">
        <f t="shared" si="6"/>
        <v>0.0073972602739726025</v>
      </c>
      <c r="E134" s="71">
        <f>(23*0.74%+8*1.938%)/31</f>
        <v>0.010491612903225806</v>
      </c>
      <c r="F134" s="69">
        <v>42186</v>
      </c>
    </row>
    <row r="135" spans="1:6" ht="12.75">
      <c r="A135" s="24">
        <v>42210</v>
      </c>
      <c r="B135" s="94">
        <f t="shared" si="5"/>
        <v>42306</v>
      </c>
      <c r="C135" s="18">
        <v>0.2358</v>
      </c>
      <c r="D135" s="65">
        <f t="shared" si="6"/>
        <v>0.01938082191780822</v>
      </c>
      <c r="E135" s="71">
        <f>(29*1.938%+2.163%)/30</f>
        <v>0.019455</v>
      </c>
      <c r="F135" s="69">
        <v>42278</v>
      </c>
    </row>
    <row r="136" spans="1:6" ht="12.75">
      <c r="A136" s="24">
        <v>42307</v>
      </c>
      <c r="B136" s="94">
        <f t="shared" si="5"/>
        <v>42355</v>
      </c>
      <c r="C136" s="18">
        <v>0.2632</v>
      </c>
      <c r="D136" s="65">
        <f aca="true" t="shared" si="7" ref="D136:D145">C136/365*30</f>
        <v>0.021632876712328768</v>
      </c>
      <c r="E136" s="71">
        <f>(17*2.163%+14*2.219%)/31</f>
        <v>0.02188290322580645</v>
      </c>
      <c r="F136" s="69">
        <v>42339</v>
      </c>
    </row>
    <row r="137" spans="1:6" ht="12.75">
      <c r="A137" s="24">
        <v>42356</v>
      </c>
      <c r="B137" s="94">
        <f t="shared" si="5"/>
        <v>42390</v>
      </c>
      <c r="C137" s="18">
        <v>0.27</v>
      </c>
      <c r="D137" s="65">
        <f t="shared" si="7"/>
        <v>0.02219178082191781</v>
      </c>
      <c r="E137" s="71">
        <f>(21*2.219%+10*2.055%)/31</f>
        <v>0.02166096774193548</v>
      </c>
      <c r="F137" s="69">
        <v>42370</v>
      </c>
    </row>
    <row r="138" spans="1:6" ht="12.75">
      <c r="A138" s="24">
        <v>42391</v>
      </c>
      <c r="B138" s="94">
        <f t="shared" si="5"/>
        <v>42431</v>
      </c>
      <c r="C138" s="18">
        <v>0.25</v>
      </c>
      <c r="D138" s="65">
        <f t="shared" si="7"/>
        <v>0.02054794520547945</v>
      </c>
      <c r="E138" s="71">
        <f>(2*2.055%+29*2.26%)/31</f>
        <v>0.02246774193548387</v>
      </c>
      <c r="F138" s="69">
        <v>42430</v>
      </c>
    </row>
    <row r="139" spans="1:6" ht="12.75">
      <c r="A139" s="24">
        <v>42432</v>
      </c>
      <c r="B139" s="94">
        <f t="shared" si="5"/>
        <v>42534</v>
      </c>
      <c r="C139" s="18">
        <v>0.275</v>
      </c>
      <c r="D139" s="65">
        <f t="shared" si="7"/>
        <v>0.022602739726027398</v>
      </c>
      <c r="E139" s="67"/>
      <c r="F139" s="69"/>
    </row>
    <row r="140" spans="1:6" ht="12.75">
      <c r="A140" s="24">
        <v>42535</v>
      </c>
      <c r="B140" s="94">
        <f t="shared" si="5"/>
        <v>42541</v>
      </c>
      <c r="C140" s="18">
        <v>0.25</v>
      </c>
      <c r="D140" s="65">
        <f t="shared" si="7"/>
        <v>0.02054794520547945</v>
      </c>
      <c r="E140" s="71"/>
      <c r="F140" s="69"/>
    </row>
    <row r="141" spans="1:6" ht="12.75">
      <c r="A141" s="24">
        <v>42542</v>
      </c>
      <c r="B141" s="94">
        <f t="shared" si="5"/>
        <v>42543</v>
      </c>
      <c r="C141" s="18">
        <v>0.24</v>
      </c>
      <c r="D141" s="65">
        <f t="shared" si="7"/>
        <v>0.019726027397260273</v>
      </c>
      <c r="E141" s="71"/>
      <c r="F141" s="69"/>
    </row>
    <row r="142" spans="1:6" ht="12.75">
      <c r="A142" s="24">
        <v>42544</v>
      </c>
      <c r="B142" s="94">
        <f t="shared" si="5"/>
        <v>42549</v>
      </c>
      <c r="C142" s="18">
        <v>0.235</v>
      </c>
      <c r="D142" s="65">
        <f t="shared" si="7"/>
        <v>0.019315068493150685</v>
      </c>
      <c r="E142" s="71">
        <f>(13*2.26%+7*2.055%+2*1.973%+6*1.932%+2*1.808%)/30</f>
        <v>0.020973</v>
      </c>
      <c r="F142" s="69">
        <v>42522</v>
      </c>
    </row>
    <row r="143" spans="1:6" ht="12.75">
      <c r="A143" s="24">
        <v>42550</v>
      </c>
      <c r="B143" s="94">
        <f t="shared" si="5"/>
        <v>42555</v>
      </c>
      <c r="C143" s="18">
        <v>0.22</v>
      </c>
      <c r="D143" s="65">
        <f t="shared" si="7"/>
        <v>0.01808219178082192</v>
      </c>
      <c r="E143" s="71"/>
      <c r="F143" s="69"/>
    </row>
    <row r="144" spans="1:6" ht="12.75">
      <c r="A144" s="24">
        <v>42556</v>
      </c>
      <c r="B144" s="94">
        <f t="shared" si="5"/>
        <v>42570</v>
      </c>
      <c r="C144" s="18">
        <v>0.2075</v>
      </c>
      <c r="D144" s="65">
        <f t="shared" si="7"/>
        <v>0.017054794520547943</v>
      </c>
      <c r="E144" s="71"/>
      <c r="F144" s="69"/>
    </row>
    <row r="145" spans="1:6" ht="12.75">
      <c r="A145" s="24">
        <v>42571</v>
      </c>
      <c r="B145" s="94">
        <f t="shared" si="5"/>
        <v>42578</v>
      </c>
      <c r="C145" s="18">
        <v>0.195</v>
      </c>
      <c r="D145" s="65">
        <f t="shared" si="7"/>
        <v>0.016027397260273975</v>
      </c>
      <c r="E145" s="71">
        <f>(4*1.808%+15*1.705%+8*1.603%+4*1.479%)/31</f>
        <v>0.016628064516129033</v>
      </c>
      <c r="F145" s="69">
        <v>42552</v>
      </c>
    </row>
    <row r="146" spans="1:6" ht="12.75">
      <c r="A146" s="24">
        <v>42579</v>
      </c>
      <c r="B146" s="94">
        <f aca="true" t="shared" si="8" ref="B146:B164">A147-1</f>
        <v>42598</v>
      </c>
      <c r="C146" s="18">
        <v>0.18</v>
      </c>
      <c r="D146" s="65">
        <f aca="true" t="shared" si="9" ref="D146:D163">C146/365*30</f>
        <v>0.014794520547945205</v>
      </c>
      <c r="E146" s="71">
        <f>(16*1.479%+15*1.356%)/31</f>
        <v>0.01419483870967742</v>
      </c>
      <c r="F146" s="69">
        <v>42583</v>
      </c>
    </row>
    <row r="147" spans="1:6" ht="12.75">
      <c r="A147" s="24">
        <v>42599</v>
      </c>
      <c r="B147" s="94">
        <f t="shared" si="8"/>
        <v>42624</v>
      </c>
      <c r="C147" s="18">
        <v>0.165</v>
      </c>
      <c r="D147" s="65">
        <f t="shared" si="9"/>
        <v>0.013561643835616439</v>
      </c>
      <c r="E147" s="71"/>
      <c r="F147" s="67"/>
    </row>
    <row r="148" spans="1:6" ht="12.75">
      <c r="A148" s="24">
        <v>42625</v>
      </c>
      <c r="B148" s="94">
        <f t="shared" si="8"/>
        <v>42631</v>
      </c>
      <c r="C148" s="18">
        <v>0.1575</v>
      </c>
      <c r="D148" s="65">
        <f t="shared" si="9"/>
        <v>0.012945205479452054</v>
      </c>
      <c r="E148" s="71">
        <f>(11*1.356%+7*1.295%+12*1.274%)/30</f>
        <v>0.013089666666666666</v>
      </c>
      <c r="F148" s="69">
        <v>42614</v>
      </c>
    </row>
    <row r="149" spans="1:6" ht="12.75">
      <c r="A149" s="24">
        <v>42632</v>
      </c>
      <c r="B149" s="94">
        <f t="shared" si="8"/>
        <v>42682</v>
      </c>
      <c r="C149" s="18">
        <v>0.155</v>
      </c>
      <c r="D149" s="65">
        <f t="shared" si="9"/>
        <v>0.012739726027397261</v>
      </c>
      <c r="E149" s="71"/>
      <c r="F149" s="67"/>
    </row>
    <row r="150" spans="1:6" ht="12.75">
      <c r="A150" s="24">
        <v>42683</v>
      </c>
      <c r="B150" s="94">
        <f t="shared" si="8"/>
        <v>42703</v>
      </c>
      <c r="C150" s="18">
        <v>0.15</v>
      </c>
      <c r="D150" s="65">
        <f t="shared" si="9"/>
        <v>0.012328767123287671</v>
      </c>
      <c r="E150" s="67"/>
      <c r="F150" s="67"/>
    </row>
    <row r="151" spans="1:6" ht="12.75">
      <c r="A151" s="24">
        <v>42704</v>
      </c>
      <c r="B151" s="94">
        <f t="shared" si="8"/>
        <v>42841</v>
      </c>
      <c r="C151" s="18">
        <v>0.1475</v>
      </c>
      <c r="D151" s="65">
        <f t="shared" si="9"/>
        <v>0.012123287671232877</v>
      </c>
      <c r="E151" s="71">
        <f>(8*1.274%+21*1.233%+1*1.212%)/30</f>
        <v>0.012432333333333333</v>
      </c>
      <c r="F151" s="69">
        <v>42675</v>
      </c>
    </row>
    <row r="152" spans="1:6" ht="12.75">
      <c r="A152" s="24">
        <v>42842</v>
      </c>
      <c r="B152" s="94">
        <f t="shared" si="8"/>
        <v>42844</v>
      </c>
      <c r="C152" s="18">
        <v>0.15</v>
      </c>
      <c r="D152" s="65">
        <f t="shared" si="9"/>
        <v>0.012328767123287671</v>
      </c>
      <c r="E152" s="67"/>
      <c r="F152" s="67"/>
    </row>
    <row r="153" spans="1:6" ht="12.75">
      <c r="A153" s="24">
        <v>42845</v>
      </c>
      <c r="B153" s="94">
        <f t="shared" si="8"/>
        <v>42850</v>
      </c>
      <c r="C153" s="18">
        <v>0.1525</v>
      </c>
      <c r="D153" s="65">
        <f t="shared" si="9"/>
        <v>0.012534246575342465</v>
      </c>
      <c r="E153" s="67"/>
      <c r="F153" s="67"/>
    </row>
    <row r="154" spans="1:6" ht="12.75">
      <c r="A154" s="24">
        <v>42851</v>
      </c>
      <c r="B154" s="94">
        <f t="shared" si="8"/>
        <v>42963</v>
      </c>
      <c r="C154" s="18">
        <v>0.155</v>
      </c>
      <c r="D154" s="65">
        <f t="shared" si="9"/>
        <v>0.012739726027397261</v>
      </c>
      <c r="E154" s="71">
        <f>(16*1.212%+3*1.233%+6*1.253%+5*1.274%)/30</f>
        <v>0.012326333333333332</v>
      </c>
      <c r="F154" s="69">
        <v>42826</v>
      </c>
    </row>
    <row r="155" spans="1:6" ht="12.75">
      <c r="A155" s="24">
        <v>42964</v>
      </c>
      <c r="B155" s="94">
        <f t="shared" si="8"/>
        <v>43018</v>
      </c>
      <c r="C155" s="18">
        <v>0.165</v>
      </c>
      <c r="D155" s="65">
        <f t="shared" si="9"/>
        <v>0.013561643835616439</v>
      </c>
      <c r="E155" s="71">
        <f>(16*1.274%+15*1.356%)/31</f>
        <v>0.013136774193548388</v>
      </c>
      <c r="F155" s="69">
        <v>42948</v>
      </c>
    </row>
    <row r="156" spans="1:6" ht="12.75">
      <c r="A156" s="24">
        <v>43019</v>
      </c>
      <c r="B156" s="94">
        <f t="shared" si="8"/>
        <v>43027</v>
      </c>
      <c r="C156" s="18">
        <v>0.1675</v>
      </c>
      <c r="D156" s="90">
        <f t="shared" si="9"/>
        <v>0.013767123287671233</v>
      </c>
      <c r="E156" s="67"/>
      <c r="F156" s="67"/>
    </row>
    <row r="157" spans="1:6" ht="12.75">
      <c r="A157" s="1">
        <v>43028</v>
      </c>
      <c r="B157" s="94">
        <f t="shared" si="8"/>
        <v>43055</v>
      </c>
      <c r="C157" s="18">
        <v>0.1775</v>
      </c>
      <c r="D157" s="90">
        <f t="shared" si="9"/>
        <v>0.01458904109589041</v>
      </c>
      <c r="E157" s="71">
        <f>(10*1.356%+9*1.377%+12*1.459%)/31</f>
        <v>0.014019677419354839</v>
      </c>
      <c r="F157" s="69">
        <v>43009</v>
      </c>
    </row>
    <row r="158" spans="1:6" ht="12.75">
      <c r="A158" s="1">
        <v>43056</v>
      </c>
      <c r="B158" s="94">
        <f t="shared" si="8"/>
        <v>43065</v>
      </c>
      <c r="C158" s="18">
        <v>0.1825</v>
      </c>
      <c r="D158" s="90">
        <f t="shared" si="9"/>
        <v>0.015</v>
      </c>
      <c r="E158" s="67"/>
      <c r="F158" s="67"/>
    </row>
    <row r="159" spans="1:6" ht="12.75">
      <c r="A159" s="1">
        <v>43066</v>
      </c>
      <c r="B159" s="94">
        <f t="shared" si="8"/>
        <v>43081</v>
      </c>
      <c r="C159" s="18">
        <v>0.19</v>
      </c>
      <c r="D159" s="90">
        <f t="shared" si="9"/>
        <v>0.015616438356164383</v>
      </c>
      <c r="E159" s="71">
        <f>(16*1.459%+9*1.5%+5*1.562%)/30</f>
        <v>0.014884666666666666</v>
      </c>
      <c r="F159" s="69">
        <v>43040</v>
      </c>
    </row>
    <row r="160" spans="1:6" ht="12.75">
      <c r="A160" s="1">
        <v>43082</v>
      </c>
      <c r="B160" s="94">
        <f t="shared" si="8"/>
        <v>43114</v>
      </c>
      <c r="C160" s="18">
        <v>0.195</v>
      </c>
      <c r="D160" s="90">
        <f t="shared" si="9"/>
        <v>0.016027397260273975</v>
      </c>
      <c r="E160" s="71">
        <f>(12*1.562%+19*1.603%)/31</f>
        <v>0.015871290322580646</v>
      </c>
      <c r="F160" s="69">
        <v>43070</v>
      </c>
    </row>
    <row r="161" spans="1:6" ht="12.75">
      <c r="A161" s="1">
        <v>43115</v>
      </c>
      <c r="B161" s="94">
        <f t="shared" si="8"/>
        <v>43115</v>
      </c>
      <c r="C161" s="18">
        <v>0.19</v>
      </c>
      <c r="D161" s="90">
        <f t="shared" si="9"/>
        <v>0.015616438356164383</v>
      </c>
      <c r="E161" s="67"/>
      <c r="F161" s="67"/>
    </row>
    <row r="162" spans="1:6" ht="12.75">
      <c r="A162" s="1">
        <v>43116</v>
      </c>
      <c r="B162" s="94">
        <f t="shared" si="8"/>
        <v>43117</v>
      </c>
      <c r="C162" s="18">
        <v>0.195</v>
      </c>
      <c r="D162" s="90">
        <f t="shared" si="9"/>
        <v>0.016027397260273975</v>
      </c>
      <c r="E162" s="67"/>
      <c r="F162" s="67"/>
    </row>
    <row r="163" spans="1:6" ht="12.75">
      <c r="A163" s="1">
        <v>43118</v>
      </c>
      <c r="B163" s="94">
        <f t="shared" si="8"/>
        <v>43227</v>
      </c>
      <c r="C163" s="18">
        <v>0.19</v>
      </c>
      <c r="D163" s="90">
        <f t="shared" si="9"/>
        <v>0.015616438356164383</v>
      </c>
      <c r="E163" s="71">
        <f>(16*1.603%+15*1.562%)/31</f>
        <v>0.015831612903225805</v>
      </c>
      <c r="F163" s="69">
        <v>43110</v>
      </c>
    </row>
    <row r="164" spans="1:6" ht="12.75">
      <c r="A164" s="1">
        <v>43228</v>
      </c>
      <c r="B164" s="94">
        <f t="shared" si="8"/>
        <v>43467</v>
      </c>
      <c r="C164" s="18">
        <v>0.2</v>
      </c>
      <c r="D164" s="90">
        <f>C164/365*30</f>
        <v>0.016438356164383564</v>
      </c>
      <c r="E164" s="71">
        <f>(7*1.562%+23*1.644%)/31</f>
        <v>0.015724516129032258</v>
      </c>
      <c r="F164" s="69">
        <v>43230</v>
      </c>
    </row>
    <row r="165" spans="1:6" ht="12.75">
      <c r="A165" s="24">
        <v>43468</v>
      </c>
      <c r="B165" s="94">
        <f aca="true" t="shared" si="10" ref="B165:B184">A166-1</f>
        <v>43474</v>
      </c>
      <c r="C165" s="18">
        <v>0.45</v>
      </c>
      <c r="D165" s="90">
        <f>C165/365*30</f>
        <v>0.036986301369863014</v>
      </c>
      <c r="E165" s="71">
        <f>(2*1.64%+7*3.699%+13*3.616%+9*3.452%)/31</f>
        <v>0.03459645161290322</v>
      </c>
      <c r="F165" s="69">
        <v>43466</v>
      </c>
    </row>
    <row r="166" spans="1:6" ht="12.75">
      <c r="A166" s="24">
        <v>43475</v>
      </c>
      <c r="B166" s="94">
        <f t="shared" si="10"/>
        <v>43487</v>
      </c>
      <c r="C166" s="18">
        <v>0.44</v>
      </c>
      <c r="D166" s="90">
        <f>C166/365*30</f>
        <v>0.03616438356164384</v>
      </c>
      <c r="E166" s="71"/>
      <c r="F166" s="69"/>
    </row>
    <row r="167" spans="1:6" ht="12.75">
      <c r="A167" s="24">
        <v>43488</v>
      </c>
      <c r="B167" s="94">
        <f t="shared" si="10"/>
        <v>43508</v>
      </c>
      <c r="C167" s="18">
        <v>0.42</v>
      </c>
      <c r="D167" s="90">
        <f aca="true" t="shared" si="11" ref="D167:D172">C167/365*30</f>
        <v>0.034520547945205475</v>
      </c>
      <c r="E167" s="71"/>
      <c r="F167" s="69"/>
    </row>
    <row r="168" spans="1:6" ht="12.75">
      <c r="A168" s="24">
        <v>43509</v>
      </c>
      <c r="B168" s="94">
        <f t="shared" si="10"/>
        <v>43509</v>
      </c>
      <c r="C168" s="18">
        <v>0.37</v>
      </c>
      <c r="D168" s="90">
        <f t="shared" si="11"/>
        <v>0.03041095890410959</v>
      </c>
      <c r="E168" s="71">
        <f>(12*3.452%+3.041%+15*2.795%)/28</f>
        <v>0.03085357142857143</v>
      </c>
      <c r="F168" s="69">
        <v>43497</v>
      </c>
    </row>
    <row r="169" spans="1:6" ht="12.75">
      <c r="A169" s="24">
        <v>43510</v>
      </c>
      <c r="B169" s="94">
        <f t="shared" si="10"/>
        <v>43531</v>
      </c>
      <c r="C169" s="18">
        <v>0.34</v>
      </c>
      <c r="D169" s="90">
        <f t="shared" si="11"/>
        <v>0.02794520547945206</v>
      </c>
      <c r="E169" s="71"/>
      <c r="F169" s="69"/>
    </row>
    <row r="170" spans="1:6" ht="12.75">
      <c r="A170" s="24">
        <v>43532</v>
      </c>
      <c r="B170" s="94">
        <f t="shared" si="10"/>
        <v>43537</v>
      </c>
      <c r="C170" s="18">
        <v>0.36</v>
      </c>
      <c r="D170" s="90">
        <f t="shared" si="11"/>
        <v>0.02958904109589041</v>
      </c>
      <c r="E170" s="71">
        <f>(7*2.795%+6*2.959%+8*3.082%+6*3.205%+4*3.37%)/31</f>
        <v>0.03054354838709678</v>
      </c>
      <c r="F170" s="69">
        <v>43525</v>
      </c>
    </row>
    <row r="171" spans="1:6" ht="12.75">
      <c r="A171" s="24">
        <v>43538</v>
      </c>
      <c r="B171" s="94">
        <f t="shared" si="10"/>
        <v>43545</v>
      </c>
      <c r="C171" s="18">
        <v>0.375</v>
      </c>
      <c r="D171" s="90">
        <f t="shared" si="11"/>
        <v>0.030821917808219176</v>
      </c>
      <c r="E171" s="71"/>
      <c r="F171" s="69"/>
    </row>
    <row r="172" spans="1:6" ht="12.75">
      <c r="A172" s="24">
        <v>43546</v>
      </c>
      <c r="B172" s="94">
        <f t="shared" si="10"/>
        <v>43551</v>
      </c>
      <c r="C172" s="18">
        <v>0.39</v>
      </c>
      <c r="D172" s="90">
        <f t="shared" si="11"/>
        <v>0.03205479452054795</v>
      </c>
      <c r="E172" s="71"/>
      <c r="F172" s="69"/>
    </row>
    <row r="173" spans="1:6" ht="12.75">
      <c r="A173" s="24">
        <v>43552</v>
      </c>
      <c r="B173" s="94">
        <f t="shared" si="10"/>
        <v>43555</v>
      </c>
      <c r="C173" s="18">
        <v>0.41</v>
      </c>
      <c r="D173" s="90">
        <f aca="true" t="shared" si="12" ref="D173:D180">C173/365*30</f>
        <v>0.033698630136986304</v>
      </c>
      <c r="E173" s="71"/>
      <c r="F173" s="69"/>
    </row>
    <row r="174" spans="1:6" ht="12.75">
      <c r="A174" s="24">
        <v>43556</v>
      </c>
      <c r="B174" s="94">
        <f t="shared" si="10"/>
        <v>43564</v>
      </c>
      <c r="C174" s="18">
        <v>0.44</v>
      </c>
      <c r="D174" s="90">
        <f t="shared" si="12"/>
        <v>0.03616438356164384</v>
      </c>
      <c r="E174" s="68">
        <f>(9*3.616%+21*3.945%)/30</f>
        <v>0.038463000000000004</v>
      </c>
      <c r="F174" s="69">
        <v>43556</v>
      </c>
    </row>
    <row r="175" spans="1:6" ht="12.75">
      <c r="A175" s="24">
        <v>43565</v>
      </c>
      <c r="B175" s="94">
        <f t="shared" si="10"/>
        <v>43585</v>
      </c>
      <c r="C175" s="18">
        <v>0.48</v>
      </c>
      <c r="D175" s="90">
        <f t="shared" si="12"/>
        <v>0.03945205479452055</v>
      </c>
      <c r="E175" s="122"/>
      <c r="F175" s="120"/>
    </row>
    <row r="176" spans="1:6" ht="12.75">
      <c r="A176" s="24">
        <v>43586</v>
      </c>
      <c r="B176" s="94">
        <f t="shared" si="10"/>
        <v>43634</v>
      </c>
      <c r="C176" s="18">
        <v>0.5</v>
      </c>
      <c r="D176" s="90">
        <f t="shared" si="12"/>
        <v>0.0410958904109589</v>
      </c>
      <c r="E176" s="68"/>
      <c r="F176" s="69"/>
    </row>
    <row r="177" spans="1:6" ht="12.75">
      <c r="A177" s="24">
        <v>43635</v>
      </c>
      <c r="B177" s="94">
        <f t="shared" si="10"/>
        <v>43685</v>
      </c>
      <c r="C177" s="18">
        <v>0.51</v>
      </c>
      <c r="D177" s="90">
        <f t="shared" si="12"/>
        <v>0.041917808219178086</v>
      </c>
      <c r="E177" s="68">
        <f>(4.11%*18+4.192%*12)/30</f>
        <v>0.041428000000000006</v>
      </c>
      <c r="F177" s="69">
        <v>43617</v>
      </c>
    </row>
    <row r="178" spans="1:6" ht="12.75">
      <c r="A178" s="24">
        <v>43686</v>
      </c>
      <c r="B178" s="94">
        <f t="shared" si="10"/>
        <v>43690</v>
      </c>
      <c r="C178" s="18">
        <v>0.35</v>
      </c>
      <c r="D178" s="90">
        <f t="shared" si="12"/>
        <v>0.028767123287671233</v>
      </c>
      <c r="E178" s="68"/>
      <c r="F178" s="69"/>
    </row>
    <row r="179" spans="1:6" ht="12.75">
      <c r="A179" s="24">
        <v>43691</v>
      </c>
      <c r="B179" s="94">
        <f t="shared" si="10"/>
        <v>43782</v>
      </c>
      <c r="C179" s="18">
        <v>0.4</v>
      </c>
      <c r="D179" s="90">
        <f t="shared" si="12"/>
        <v>0.03287671232876713</v>
      </c>
      <c r="E179" s="68">
        <f>(4.192%*8+2.877%*5+3.288%*18)/31</f>
        <v>0.034550000000000004</v>
      </c>
      <c r="F179" s="69">
        <v>43678</v>
      </c>
    </row>
    <row r="180" spans="1:6" ht="12.75">
      <c r="A180" s="24">
        <v>43783</v>
      </c>
      <c r="B180" s="94">
        <f t="shared" si="10"/>
        <v>43818</v>
      </c>
      <c r="C180" s="18">
        <v>0.36</v>
      </c>
      <c r="D180" s="90">
        <f t="shared" si="12"/>
        <v>0.02958904109589041</v>
      </c>
      <c r="E180" s="68">
        <f>(3.288%*13+2.959%*17)/30</f>
        <v>0.031015666666666664</v>
      </c>
      <c r="F180" s="69">
        <v>43770</v>
      </c>
    </row>
    <row r="181" spans="1:6" ht="12.75">
      <c r="A181" s="24">
        <v>43819</v>
      </c>
      <c r="B181" s="94">
        <f t="shared" si="10"/>
        <v>43825</v>
      </c>
      <c r="C181" s="18">
        <v>0.32</v>
      </c>
      <c r="D181" s="90">
        <f>C181/365*30</f>
        <v>0.0263013698630137</v>
      </c>
      <c r="E181" s="68"/>
      <c r="F181" s="69"/>
    </row>
    <row r="182" spans="1:6" ht="12.75">
      <c r="A182" s="24">
        <v>43826</v>
      </c>
      <c r="B182" s="94">
        <f t="shared" si="10"/>
        <v>43828</v>
      </c>
      <c r="C182" s="18">
        <v>0.3</v>
      </c>
      <c r="D182" s="90">
        <f>C182/365*30</f>
        <v>0.024657534246575342</v>
      </c>
      <c r="E182" s="68"/>
      <c r="F182" s="69"/>
    </row>
    <row r="183" spans="1:6" ht="12.75">
      <c r="A183" s="24">
        <v>43829</v>
      </c>
      <c r="B183" s="94">
        <f t="shared" si="10"/>
        <v>43853</v>
      </c>
      <c r="C183" s="18">
        <v>0.28</v>
      </c>
      <c r="D183" s="90">
        <f>C183/365*30</f>
        <v>0.02301369863013699</v>
      </c>
      <c r="E183" s="68">
        <f>(2.959%*19+2.63%*7+2.466%*3+2.301%*2)/31</f>
        <v>0.027945483870967746</v>
      </c>
      <c r="F183" s="69">
        <v>43800</v>
      </c>
    </row>
    <row r="184" spans="1:6" ht="12.75">
      <c r="A184" s="24">
        <v>43854</v>
      </c>
      <c r="B184" s="94"/>
      <c r="C184" s="18">
        <v>0.26</v>
      </c>
      <c r="D184" s="90">
        <f>C184/365*30</f>
        <v>0.02136986301369863</v>
      </c>
      <c r="E184" s="68">
        <f>(2.301%*23+2.137%*8)/31</f>
        <v>0.02258677419354839</v>
      </c>
      <c r="F184" s="69">
        <v>43831</v>
      </c>
    </row>
    <row r="185" spans="1:6" ht="12.75">
      <c r="A185" s="1"/>
      <c r="C185" s="18"/>
      <c r="D185" s="90"/>
      <c r="E185" s="67"/>
      <c r="F185" s="67"/>
    </row>
    <row r="186" spans="1:6" ht="12.75">
      <c r="A186" s="1"/>
      <c r="B186" s="85" t="s">
        <v>50</v>
      </c>
      <c r="C186" s="96">
        <v>43867</v>
      </c>
      <c r="D186" s="90"/>
      <c r="E186" s="67"/>
      <c r="F186" s="67"/>
    </row>
    <row r="188" ht="12.75">
      <c r="A188" s="53"/>
    </row>
    <row r="189" ht="12.75">
      <c r="C189" s="1"/>
    </row>
    <row r="190" spans="1:5" ht="12.75">
      <c r="A190" s="91"/>
      <c r="B190" s="91"/>
      <c r="C190" s="91"/>
      <c r="D190" s="18"/>
      <c r="E190" s="91"/>
    </row>
    <row r="191" spans="1:5" ht="12.75">
      <c r="A191" s="24"/>
      <c r="B191" s="24"/>
      <c r="C191" s="18"/>
      <c r="D191" s="90"/>
      <c r="E191" s="91"/>
    </row>
    <row r="192" spans="1:5" ht="12.75">
      <c r="A192" s="24"/>
      <c r="B192" s="24"/>
      <c r="C192" s="18"/>
      <c r="D192" s="90"/>
      <c r="E192" s="91"/>
    </row>
    <row r="193" spans="1:5" ht="12.75">
      <c r="A193" s="24"/>
      <c r="B193" s="24"/>
      <c r="C193" s="18"/>
      <c r="D193" s="90"/>
      <c r="E193" s="91"/>
    </row>
    <row r="194" spans="1:5" ht="12.75">
      <c r="A194" s="24"/>
      <c r="B194" s="91"/>
      <c r="C194" s="18"/>
      <c r="D194" s="65"/>
      <c r="E194" s="91"/>
    </row>
    <row r="195" spans="1:5" ht="12.75">
      <c r="A195" s="24"/>
      <c r="B195" s="24"/>
      <c r="C195" s="18"/>
      <c r="D195" s="90"/>
      <c r="E195" s="91"/>
    </row>
    <row r="196" spans="1:5" ht="12.75">
      <c r="A196" s="24"/>
      <c r="B196" s="91"/>
      <c r="C196" s="18"/>
      <c r="D196" s="88"/>
      <c r="E196" s="91"/>
    </row>
    <row r="197" spans="1:5" ht="12.75">
      <c r="A197" s="24"/>
      <c r="B197" s="24"/>
      <c r="C197" s="18"/>
      <c r="D197" s="90"/>
      <c r="E197" s="91"/>
    </row>
    <row r="198" spans="1:5" ht="12.75">
      <c r="A198" s="92"/>
      <c r="B198" s="91"/>
      <c r="C198" s="18"/>
      <c r="D198" s="88"/>
      <c r="E198" s="91"/>
    </row>
    <row r="199" spans="1:5" ht="12.75">
      <c r="A199" s="24"/>
      <c r="B199" s="91"/>
      <c r="C199" s="18"/>
      <c r="D199" s="88"/>
      <c r="E199" s="91"/>
    </row>
    <row r="200" spans="1:5" ht="12.75">
      <c r="A200" s="24"/>
      <c r="B200" s="91"/>
      <c r="C200" s="18"/>
      <c r="D200" s="90"/>
      <c r="E200" s="91"/>
    </row>
    <row r="201" spans="1:5" ht="12.75">
      <c r="A201" s="24"/>
      <c r="B201" s="91"/>
      <c r="C201" s="18"/>
      <c r="D201" s="90"/>
      <c r="E201" s="91"/>
    </row>
  </sheetData>
  <sheetProtection/>
  <hyperlinks>
    <hyperlink ref="B7" r:id="rId1" display="www.ambito.com"/>
  </hyperlinks>
  <printOptions horizontalCentered="1"/>
  <pageMargins left="0.3937007874015748" right="0.3937007874015748" top="0.3937007874015748" bottom="0.8267716535433072" header="0" footer="0"/>
  <pageSetup horizontalDpi="600" verticalDpi="600" orientation="portrait" paperSize="9" r:id="rId3"/>
  <headerFooter alignWithMargins="0">
    <oddFooter>&amp;L&amp;F&amp;CPágina &amp;P&amp;RConstrucción y Mantenimiento:
CPN Cristian G. Cuello
Comisión Actuación Judicial - CGCE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PageLayoutView="0" workbookViewId="0" topLeftCell="A1">
      <pane ySplit="13" topLeftCell="A42" activePane="bottomLeft" state="frozen"/>
      <selection pane="topLeft" activeCell="A1" sqref="A1"/>
      <selection pane="bottomLeft" activeCell="J55" sqref="J55"/>
    </sheetView>
  </sheetViews>
  <sheetFormatPr defaultColWidth="11.421875" defaultRowHeight="12.75"/>
  <cols>
    <col min="1" max="1" width="11.421875" style="5" customWidth="1"/>
    <col min="2" max="9" width="8.140625" style="5" customWidth="1"/>
    <col min="10" max="10" width="9.28125" style="5" customWidth="1"/>
    <col min="11" max="11" width="8.8515625" style="5" customWidth="1"/>
    <col min="12" max="16384" width="11.421875" style="5" customWidth="1"/>
  </cols>
  <sheetData>
    <row r="1" ht="15.75">
      <c r="A1" s="11"/>
    </row>
    <row r="2" ht="15.75">
      <c r="A2" s="11"/>
    </row>
    <row r="3" ht="10.5"/>
    <row r="4" ht="10.5"/>
    <row r="5" ht="10.5"/>
    <row r="6" ht="10.5"/>
    <row r="7" ht="10.5"/>
    <row r="8" ht="10.5"/>
    <row r="9" ht="14.25">
      <c r="A9" s="59" t="s">
        <v>47</v>
      </c>
    </row>
    <row r="10" ht="12.75">
      <c r="A10" s="53" t="s">
        <v>37</v>
      </c>
    </row>
    <row r="11" spans="1:7" ht="12.75">
      <c r="A11" s="4" t="s">
        <v>65</v>
      </c>
      <c r="C11" s="4"/>
      <c r="D11" s="89" t="s">
        <v>59</v>
      </c>
      <c r="F11" s="4"/>
      <c r="G11" s="4" t="s">
        <v>60</v>
      </c>
    </row>
    <row r="12" spans="1:8" ht="12.75">
      <c r="A12" s="4" t="s">
        <v>66</v>
      </c>
      <c r="B12" s="4" t="s">
        <v>53</v>
      </c>
      <c r="C12" s="4"/>
      <c r="D12" s="4"/>
      <c r="E12" s="4"/>
      <c r="F12" s="89" t="s">
        <v>55</v>
      </c>
      <c r="G12" s="4"/>
      <c r="H12" s="4" t="s">
        <v>61</v>
      </c>
    </row>
    <row r="13" spans="1:8" ht="12.75">
      <c r="A13" s="4" t="s">
        <v>67</v>
      </c>
      <c r="C13" s="4"/>
      <c r="D13" s="4"/>
      <c r="E13" s="89" t="s">
        <v>54</v>
      </c>
      <c r="F13" s="4"/>
      <c r="G13" s="4" t="s">
        <v>56</v>
      </c>
      <c r="H13" s="4"/>
    </row>
    <row r="14" ht="11.25" thickBot="1"/>
    <row r="15" spans="1:18" ht="12.75">
      <c r="A15" s="98" t="s">
        <v>16</v>
      </c>
      <c r="B15" s="99">
        <v>1991</v>
      </c>
      <c r="C15" s="99">
        <v>1992</v>
      </c>
      <c r="D15" s="99">
        <v>1993</v>
      </c>
      <c r="E15" s="99">
        <v>1994</v>
      </c>
      <c r="F15" s="99">
        <v>1995</v>
      </c>
      <c r="G15" s="99">
        <v>1996</v>
      </c>
      <c r="H15" s="99">
        <v>1997</v>
      </c>
      <c r="I15" s="99">
        <v>1998</v>
      </c>
      <c r="J15" s="99">
        <v>1999</v>
      </c>
      <c r="K15" s="100">
        <v>2000</v>
      </c>
      <c r="R15" s="6"/>
    </row>
    <row r="16" spans="1:11" ht="12.75">
      <c r="A16" s="101" t="s">
        <v>17</v>
      </c>
      <c r="B16" s="9" t="s">
        <v>18</v>
      </c>
      <c r="C16" s="9">
        <v>3</v>
      </c>
      <c r="D16" s="9">
        <v>2</v>
      </c>
      <c r="E16" s="9">
        <v>1.6</v>
      </c>
      <c r="F16" s="9">
        <v>1.67</v>
      </c>
      <c r="G16" s="9">
        <v>1.6</v>
      </c>
      <c r="H16" s="9">
        <v>1.16</v>
      </c>
      <c r="I16" s="9">
        <v>1.16</v>
      </c>
      <c r="J16" s="9">
        <v>1.36</v>
      </c>
      <c r="K16" s="102">
        <v>1.41</v>
      </c>
    </row>
    <row r="17" spans="1:18" ht="12.75">
      <c r="A17" s="101" t="s">
        <v>19</v>
      </c>
      <c r="B17" s="9" t="s">
        <v>18</v>
      </c>
      <c r="C17" s="9">
        <v>3</v>
      </c>
      <c r="D17" s="9">
        <v>2</v>
      </c>
      <c r="E17" s="9">
        <v>1.6</v>
      </c>
      <c r="F17" s="9">
        <v>1.75</v>
      </c>
      <c r="G17" s="9">
        <v>1.6</v>
      </c>
      <c r="H17" s="9">
        <v>1.16</v>
      </c>
      <c r="I17" s="9">
        <v>1.16</v>
      </c>
      <c r="J17" s="9">
        <v>1.41</v>
      </c>
      <c r="K17" s="102">
        <v>1.41</v>
      </c>
      <c r="R17" s="6"/>
    </row>
    <row r="18" spans="1:11" ht="12.75">
      <c r="A18" s="101" t="s">
        <v>20</v>
      </c>
      <c r="B18" s="9" t="s">
        <v>18</v>
      </c>
      <c r="C18" s="9">
        <v>2.5</v>
      </c>
      <c r="D18" s="9">
        <v>1.85</v>
      </c>
      <c r="E18" s="9">
        <v>1.6</v>
      </c>
      <c r="F18" s="9">
        <v>2.25</v>
      </c>
      <c r="G18" s="9">
        <v>1.6</v>
      </c>
      <c r="H18" s="9">
        <v>1.16</v>
      </c>
      <c r="I18" s="9">
        <v>1.16</v>
      </c>
      <c r="J18" s="9">
        <v>1.41</v>
      </c>
      <c r="K18" s="102">
        <v>1.41</v>
      </c>
    </row>
    <row r="19" spans="1:18" ht="12.75">
      <c r="A19" s="101" t="s">
        <v>21</v>
      </c>
      <c r="B19" s="9">
        <v>5.01</v>
      </c>
      <c r="C19" s="9">
        <v>2.5</v>
      </c>
      <c r="D19" s="9">
        <v>1.8</v>
      </c>
      <c r="E19" s="9">
        <v>1.6</v>
      </c>
      <c r="F19" s="9">
        <v>2.38</v>
      </c>
      <c r="G19" s="9">
        <v>1.6</v>
      </c>
      <c r="H19" s="9">
        <v>1.16</v>
      </c>
      <c r="I19" s="9">
        <v>1.16</v>
      </c>
      <c r="J19" s="9">
        <v>1.41</v>
      </c>
      <c r="K19" s="102">
        <v>1.41</v>
      </c>
      <c r="R19" s="6"/>
    </row>
    <row r="20" spans="1:11" ht="12.75">
      <c r="A20" s="101" t="s">
        <v>22</v>
      </c>
      <c r="B20" s="9">
        <v>4.69</v>
      </c>
      <c r="C20" s="9">
        <v>2.5</v>
      </c>
      <c r="D20" s="9">
        <v>1.63</v>
      </c>
      <c r="E20" s="9">
        <v>1.6</v>
      </c>
      <c r="F20" s="9">
        <v>2.12</v>
      </c>
      <c r="G20" s="9">
        <v>1.4</v>
      </c>
      <c r="H20" s="9">
        <v>1.16</v>
      </c>
      <c r="I20" s="9">
        <v>1.16</v>
      </c>
      <c r="J20" s="9">
        <v>1.41</v>
      </c>
      <c r="K20" s="102">
        <v>1.41</v>
      </c>
    </row>
    <row r="21" spans="1:11" ht="12.75">
      <c r="A21" s="101" t="s">
        <v>23</v>
      </c>
      <c r="B21" s="9">
        <v>5</v>
      </c>
      <c r="C21" s="9">
        <v>2.28</v>
      </c>
      <c r="D21" s="9">
        <v>1.6</v>
      </c>
      <c r="E21" s="9">
        <v>1.6</v>
      </c>
      <c r="F21" s="9">
        <v>1.67</v>
      </c>
      <c r="G21" s="9">
        <v>1.4</v>
      </c>
      <c r="H21" s="9">
        <v>1.16</v>
      </c>
      <c r="I21" s="9">
        <v>1.16</v>
      </c>
      <c r="J21" s="9">
        <v>1.41</v>
      </c>
      <c r="K21" s="102">
        <v>1.41</v>
      </c>
    </row>
    <row r="22" spans="1:11" ht="12.75">
      <c r="A22" s="101" t="s">
        <v>24</v>
      </c>
      <c r="B22" s="9">
        <v>5</v>
      </c>
      <c r="C22" s="9">
        <v>2.2</v>
      </c>
      <c r="D22" s="9">
        <v>1.6</v>
      </c>
      <c r="E22" s="9">
        <v>1.6</v>
      </c>
      <c r="F22" s="9">
        <v>1.64</v>
      </c>
      <c r="G22" s="9">
        <v>1.4</v>
      </c>
      <c r="H22" s="9">
        <v>1.16</v>
      </c>
      <c r="I22" s="9">
        <v>1.16</v>
      </c>
      <c r="J22" s="9">
        <v>1.41</v>
      </c>
      <c r="K22" s="102">
        <v>1.41</v>
      </c>
    </row>
    <row r="23" spans="1:11" ht="12.75">
      <c r="A23" s="101" t="s">
        <v>25</v>
      </c>
      <c r="B23" s="9">
        <v>4.7</v>
      </c>
      <c r="C23" s="9">
        <v>2.2</v>
      </c>
      <c r="D23" s="9">
        <v>1.6</v>
      </c>
      <c r="E23" s="9">
        <v>1.6</v>
      </c>
      <c r="F23" s="9">
        <v>1.6</v>
      </c>
      <c r="G23" s="9">
        <v>1.4</v>
      </c>
      <c r="H23" s="9">
        <v>1.16</v>
      </c>
      <c r="I23" s="9">
        <v>1.16</v>
      </c>
      <c r="J23" s="9">
        <v>1.41</v>
      </c>
      <c r="K23" s="102">
        <v>1.41</v>
      </c>
    </row>
    <row r="24" spans="1:11" ht="12.75">
      <c r="A24" s="101" t="s">
        <v>26</v>
      </c>
      <c r="B24" s="9">
        <v>3</v>
      </c>
      <c r="C24" s="9">
        <v>2.2</v>
      </c>
      <c r="D24" s="9">
        <v>1.6</v>
      </c>
      <c r="E24" s="9">
        <v>1.6</v>
      </c>
      <c r="F24" s="9">
        <v>1.6</v>
      </c>
      <c r="G24" s="9">
        <v>1.4</v>
      </c>
      <c r="H24" s="9">
        <v>1.16</v>
      </c>
      <c r="I24" s="9">
        <v>1.23</v>
      </c>
      <c r="J24" s="9">
        <v>1.41</v>
      </c>
      <c r="K24" s="102">
        <v>1.41</v>
      </c>
    </row>
    <row r="25" spans="1:11" ht="12.75">
      <c r="A25" s="101" t="s">
        <v>27</v>
      </c>
      <c r="B25" s="9">
        <v>3</v>
      </c>
      <c r="C25" s="9">
        <v>2.05</v>
      </c>
      <c r="D25" s="9">
        <v>1.6</v>
      </c>
      <c r="E25" s="9">
        <v>1.6</v>
      </c>
      <c r="F25" s="9">
        <v>1.6</v>
      </c>
      <c r="G25" s="9">
        <v>1.4</v>
      </c>
      <c r="H25" s="9">
        <v>1.16</v>
      </c>
      <c r="I25" s="9">
        <v>1.33</v>
      </c>
      <c r="J25" s="9">
        <v>1.41</v>
      </c>
      <c r="K25" s="102">
        <v>1.41</v>
      </c>
    </row>
    <row r="26" spans="1:11" ht="12.75">
      <c r="A26" s="101" t="s">
        <v>28</v>
      </c>
      <c r="B26" s="9">
        <v>3</v>
      </c>
      <c r="C26" s="9">
        <v>2</v>
      </c>
      <c r="D26" s="9">
        <v>1.6</v>
      </c>
      <c r="E26" s="9">
        <v>1.6</v>
      </c>
      <c r="F26" s="9">
        <v>1.6</v>
      </c>
      <c r="G26" s="9">
        <v>1.16</v>
      </c>
      <c r="H26" s="9">
        <v>1.16</v>
      </c>
      <c r="I26" s="9">
        <v>1.33</v>
      </c>
      <c r="J26" s="9">
        <v>1.41</v>
      </c>
      <c r="K26" s="102">
        <v>1.41</v>
      </c>
    </row>
    <row r="27" spans="1:11" ht="13.5" thickBot="1">
      <c r="A27" s="103" t="s">
        <v>29</v>
      </c>
      <c r="B27" s="104">
        <v>3</v>
      </c>
      <c r="C27" s="104">
        <v>2</v>
      </c>
      <c r="D27" s="104">
        <v>1.6</v>
      </c>
      <c r="E27" s="104">
        <v>1.66</v>
      </c>
      <c r="F27" s="104">
        <v>1.6</v>
      </c>
      <c r="G27" s="104">
        <v>1.16</v>
      </c>
      <c r="H27" s="104">
        <v>1.16</v>
      </c>
      <c r="I27" s="104">
        <v>1.33</v>
      </c>
      <c r="J27" s="104">
        <v>1.41</v>
      </c>
      <c r="K27" s="105">
        <v>1.41</v>
      </c>
    </row>
    <row r="28" spans="1:11" ht="13.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98" t="s">
        <v>16</v>
      </c>
      <c r="B29" s="99">
        <v>2001</v>
      </c>
      <c r="C29" s="99">
        <v>2002</v>
      </c>
      <c r="D29" s="99">
        <v>2003</v>
      </c>
      <c r="E29" s="99">
        <v>2004</v>
      </c>
      <c r="F29" s="99">
        <v>2005</v>
      </c>
      <c r="G29" s="99">
        <v>2006</v>
      </c>
      <c r="H29" s="99">
        <v>2007</v>
      </c>
      <c r="I29" s="99">
        <v>2008</v>
      </c>
      <c r="J29" s="99">
        <v>2009</v>
      </c>
      <c r="K29" s="100">
        <v>2010</v>
      </c>
    </row>
    <row r="30" spans="1:11" ht="12.75">
      <c r="A30" s="101" t="s">
        <v>17</v>
      </c>
      <c r="B30" s="9">
        <v>1.41</v>
      </c>
      <c r="C30" s="9">
        <v>1.46</v>
      </c>
      <c r="D30" s="9">
        <v>4</v>
      </c>
      <c r="E30" s="9">
        <v>1.55</v>
      </c>
      <c r="F30" s="9">
        <v>1.55</v>
      </c>
      <c r="G30" s="9">
        <v>1.55</v>
      </c>
      <c r="H30" s="9">
        <v>1.55</v>
      </c>
      <c r="I30" s="9">
        <v>1.55</v>
      </c>
      <c r="J30" s="9">
        <v>1.55</v>
      </c>
      <c r="K30" s="102">
        <v>1.55</v>
      </c>
    </row>
    <row r="31" spans="1:11" ht="12.75">
      <c r="A31" s="101" t="s">
        <v>19</v>
      </c>
      <c r="B31" s="9">
        <v>1.35</v>
      </c>
      <c r="C31" s="9">
        <v>1.46</v>
      </c>
      <c r="D31" s="9">
        <v>4</v>
      </c>
      <c r="E31" s="9">
        <v>1.55</v>
      </c>
      <c r="F31" s="9">
        <v>1.55</v>
      </c>
      <c r="G31" s="9">
        <v>1.55</v>
      </c>
      <c r="H31" s="9">
        <v>1.55</v>
      </c>
      <c r="I31" s="9">
        <v>1.55</v>
      </c>
      <c r="J31" s="9">
        <v>1.55</v>
      </c>
      <c r="K31" s="102">
        <v>1.55</v>
      </c>
    </row>
    <row r="32" spans="1:11" ht="12.75">
      <c r="A32" s="101" t="s">
        <v>20</v>
      </c>
      <c r="B32" s="9">
        <v>1.29</v>
      </c>
      <c r="C32" s="9">
        <v>3.66</v>
      </c>
      <c r="D32" s="9">
        <v>3.91</v>
      </c>
      <c r="E32" s="9">
        <v>1.55</v>
      </c>
      <c r="F32" s="9">
        <v>1.55</v>
      </c>
      <c r="G32" s="9">
        <v>1.55</v>
      </c>
      <c r="H32" s="9">
        <v>1.55</v>
      </c>
      <c r="I32" s="9">
        <v>1.55</v>
      </c>
      <c r="J32" s="9">
        <v>1.55</v>
      </c>
      <c r="K32" s="102">
        <v>1.55</v>
      </c>
    </row>
    <row r="33" spans="1:11" ht="12.75">
      <c r="A33" s="101" t="s">
        <v>21</v>
      </c>
      <c r="B33" s="9">
        <v>1.29</v>
      </c>
      <c r="C33" s="9">
        <v>4.5</v>
      </c>
      <c r="D33" s="9">
        <v>3.525</v>
      </c>
      <c r="E33" s="9">
        <v>1.55</v>
      </c>
      <c r="F33" s="9">
        <v>1.55</v>
      </c>
      <c r="G33" s="9">
        <v>1.55</v>
      </c>
      <c r="H33" s="9">
        <v>1.55</v>
      </c>
      <c r="I33" s="9">
        <v>1.55</v>
      </c>
      <c r="J33" s="9">
        <v>1.55</v>
      </c>
      <c r="K33" s="102">
        <v>1.55</v>
      </c>
    </row>
    <row r="34" spans="1:11" ht="12.75">
      <c r="A34" s="101" t="s">
        <v>22</v>
      </c>
      <c r="B34" s="9">
        <v>1.29</v>
      </c>
      <c r="C34" s="9">
        <v>4.5</v>
      </c>
      <c r="D34" s="9">
        <v>3.02</v>
      </c>
      <c r="E34" s="9">
        <v>1.55</v>
      </c>
      <c r="F34" s="9">
        <v>1.55</v>
      </c>
      <c r="G34" s="9">
        <v>1.55</v>
      </c>
      <c r="H34" s="9">
        <v>1.55</v>
      </c>
      <c r="I34" s="9">
        <v>1.55</v>
      </c>
      <c r="J34" s="9">
        <v>1.55</v>
      </c>
      <c r="K34" s="102">
        <v>1.55</v>
      </c>
    </row>
    <row r="35" spans="1:11" ht="12.75">
      <c r="A35" s="101" t="s">
        <v>23</v>
      </c>
      <c r="B35" s="9">
        <v>1.29</v>
      </c>
      <c r="C35" s="9">
        <v>4.5</v>
      </c>
      <c r="D35" s="9">
        <v>2.33</v>
      </c>
      <c r="E35" s="9">
        <v>1.55</v>
      </c>
      <c r="F35" s="9">
        <v>1.55</v>
      </c>
      <c r="G35" s="9">
        <v>1.55</v>
      </c>
      <c r="H35" s="9">
        <v>1.55</v>
      </c>
      <c r="I35" s="9">
        <v>1.55</v>
      </c>
      <c r="J35" s="9">
        <v>1.55</v>
      </c>
      <c r="K35" s="102">
        <v>1.55</v>
      </c>
    </row>
    <row r="36" spans="1:11" ht="12.75">
      <c r="A36" s="101" t="s">
        <v>24</v>
      </c>
      <c r="B36" s="9">
        <v>1.3</v>
      </c>
      <c r="C36" s="9">
        <v>4.71</v>
      </c>
      <c r="D36" s="9">
        <v>1.88</v>
      </c>
      <c r="E36" s="9">
        <v>1.55</v>
      </c>
      <c r="F36" s="9">
        <v>1.55</v>
      </c>
      <c r="G36" s="9">
        <v>1.55</v>
      </c>
      <c r="H36" s="9">
        <v>1.55</v>
      </c>
      <c r="I36" s="9">
        <v>1.55</v>
      </c>
      <c r="J36" s="9">
        <v>1.55</v>
      </c>
      <c r="K36" s="102">
        <v>1.55</v>
      </c>
    </row>
    <row r="37" spans="1:11" ht="12.75">
      <c r="A37" s="101" t="s">
        <v>25</v>
      </c>
      <c r="B37" s="9">
        <v>1.46</v>
      </c>
      <c r="C37" s="9">
        <v>5</v>
      </c>
      <c r="D37" s="9">
        <v>1.706</v>
      </c>
      <c r="E37" s="9">
        <v>1.55</v>
      </c>
      <c r="F37" s="9">
        <v>1.55</v>
      </c>
      <c r="G37" s="9">
        <v>1.55</v>
      </c>
      <c r="H37" s="9">
        <v>1.55</v>
      </c>
      <c r="I37" s="9">
        <v>1.55</v>
      </c>
      <c r="J37" s="9">
        <v>1.55</v>
      </c>
      <c r="K37" s="102">
        <v>1.55</v>
      </c>
    </row>
    <row r="38" spans="1:11" ht="12.75">
      <c r="A38" s="101" t="s">
        <v>30</v>
      </c>
      <c r="B38" s="9">
        <v>1.46</v>
      </c>
      <c r="C38" s="9">
        <v>5</v>
      </c>
      <c r="D38" s="9">
        <v>1.68</v>
      </c>
      <c r="E38" s="9">
        <v>1.55</v>
      </c>
      <c r="F38" s="9">
        <v>1.55</v>
      </c>
      <c r="G38" s="9">
        <v>1.55</v>
      </c>
      <c r="H38" s="9">
        <v>1.55</v>
      </c>
      <c r="I38" s="9">
        <v>1.55</v>
      </c>
      <c r="J38" s="9">
        <v>1.55</v>
      </c>
      <c r="K38" s="102">
        <v>1.55</v>
      </c>
    </row>
    <row r="39" spans="1:11" ht="12.75">
      <c r="A39" s="101" t="s">
        <v>27</v>
      </c>
      <c r="B39" s="9">
        <v>1.46</v>
      </c>
      <c r="C39" s="9">
        <v>4.98</v>
      </c>
      <c r="D39" s="9">
        <v>1.55</v>
      </c>
      <c r="E39" s="9">
        <v>1.55</v>
      </c>
      <c r="F39" s="9">
        <v>1.55</v>
      </c>
      <c r="G39" s="9">
        <v>1.55</v>
      </c>
      <c r="H39" s="9">
        <v>1.55</v>
      </c>
      <c r="I39" s="9">
        <v>1.55</v>
      </c>
      <c r="J39" s="9">
        <v>1.55</v>
      </c>
      <c r="K39" s="102">
        <v>1.55</v>
      </c>
    </row>
    <row r="40" spans="1:11" ht="12.75">
      <c r="A40" s="101" t="s">
        <v>28</v>
      </c>
      <c r="B40" s="9">
        <v>1.46</v>
      </c>
      <c r="C40" s="9">
        <v>4.17</v>
      </c>
      <c r="D40" s="9">
        <v>1.55</v>
      </c>
      <c r="E40" s="9">
        <v>1.55</v>
      </c>
      <c r="F40" s="9">
        <v>1.55</v>
      </c>
      <c r="G40" s="9">
        <v>1.55</v>
      </c>
      <c r="H40" s="9">
        <v>1.55</v>
      </c>
      <c r="I40" s="9">
        <v>1.55</v>
      </c>
      <c r="J40" s="9">
        <v>1.55</v>
      </c>
      <c r="K40" s="102">
        <v>1.55</v>
      </c>
    </row>
    <row r="41" spans="1:11" ht="13.5" thickBot="1">
      <c r="A41" s="103" t="s">
        <v>29</v>
      </c>
      <c r="B41" s="104">
        <v>1.46</v>
      </c>
      <c r="C41" s="104">
        <v>4</v>
      </c>
      <c r="D41" s="104">
        <v>1.55</v>
      </c>
      <c r="E41" s="104">
        <v>1.55</v>
      </c>
      <c r="F41" s="104">
        <v>1.55</v>
      </c>
      <c r="G41" s="104">
        <v>1.55</v>
      </c>
      <c r="H41" s="104">
        <v>1.55</v>
      </c>
      <c r="I41" s="104">
        <v>1.55</v>
      </c>
      <c r="J41" s="104">
        <v>1.55</v>
      </c>
      <c r="K41" s="105">
        <v>1.55</v>
      </c>
    </row>
    <row r="42" spans="1:11" ht="13.5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98" t="s">
        <v>16</v>
      </c>
      <c r="B43" s="99">
        <v>2011</v>
      </c>
      <c r="C43" s="99">
        <v>2012</v>
      </c>
      <c r="D43" s="99">
        <v>2013</v>
      </c>
      <c r="E43" s="99">
        <v>2014</v>
      </c>
      <c r="F43" s="99">
        <v>2015</v>
      </c>
      <c r="G43" s="99">
        <v>2016</v>
      </c>
      <c r="H43" s="99">
        <v>2017</v>
      </c>
      <c r="I43" s="99">
        <v>2018</v>
      </c>
      <c r="J43" s="99">
        <v>2019</v>
      </c>
      <c r="K43" s="100">
        <v>2020</v>
      </c>
    </row>
    <row r="44" spans="1:11" ht="12.75">
      <c r="A44" s="101" t="s">
        <v>17</v>
      </c>
      <c r="B44" s="9">
        <v>1.55</v>
      </c>
      <c r="C44" s="9">
        <v>1.55</v>
      </c>
      <c r="D44" s="9">
        <v>1.55</v>
      </c>
      <c r="E44" s="109">
        <v>1.5989</v>
      </c>
      <c r="F44" s="9">
        <v>2.055</v>
      </c>
      <c r="G44" s="106">
        <f>(12*2.055+19*2.465)/31</f>
        <v>2.3062903225806455</v>
      </c>
      <c r="H44" s="113">
        <f>(26*(25/365*30)+5*(24/365*30))/31</f>
        <v>2.0415377817057</v>
      </c>
      <c r="I44" s="106">
        <f>27/365*30</f>
        <v>2.219178082191781</v>
      </c>
      <c r="J44" s="113">
        <f>(4.887+4.789+4.727+3*4.635+4.758+4.882+4.635+4.684+3*4.629+4.66+4.641+4.53+4.592+3*4.5+4.524+4.586+4.5+4.512+3*4.536+4.445+4.493+4.513+4.475)/31</f>
        <v>4.6042903225806455</v>
      </c>
      <c r="K44" s="131">
        <f>(4.031+3.994+4.019*3+3.969+3.975+3.889+3.834+3.821*4+3.772+3.704+3.747+3.704*3+3.661+3.6+3.581+3.563+3.489*4+3.445*2+3.408+3.439)/31</f>
        <v>3.724709677419355</v>
      </c>
    </row>
    <row r="45" spans="1:11" ht="12.75">
      <c r="A45" s="101" t="s">
        <v>19</v>
      </c>
      <c r="B45" s="9">
        <v>1.55</v>
      </c>
      <c r="C45" s="9">
        <v>1.55</v>
      </c>
      <c r="D45" s="9">
        <v>1.55</v>
      </c>
      <c r="E45" s="9">
        <v>2.055</v>
      </c>
      <c r="F45" s="9">
        <v>2.055</v>
      </c>
      <c r="G45" s="9">
        <v>2.465</v>
      </c>
      <c r="H45" s="106">
        <f aca="true" t="shared" si="0" ref="H45:H53">24/365*30</f>
        <v>1.9726027397260273</v>
      </c>
      <c r="I45" s="106">
        <f>27/365*30</f>
        <v>2.219178082191781</v>
      </c>
      <c r="J45" s="113">
        <f>(3*4.401+4.389+4.401+4.345+4.394+3*4.197+4.179+4.086+4.024+3.889+3*3.76+3.686+3.612+3.538+3.556+3*3.489+3.476+3.489+3.47+3.544)/28</f>
        <v>3.914964285714286</v>
      </c>
      <c r="K45" s="132">
        <f>(3.439*2+3.383+3.402+3.383*25)/29</f>
        <v>3.38751724137931</v>
      </c>
    </row>
    <row r="46" spans="1:11" ht="12.75">
      <c r="A46" s="101" t="s">
        <v>20</v>
      </c>
      <c r="B46" s="9">
        <v>1.55</v>
      </c>
      <c r="C46" s="9">
        <v>1.55</v>
      </c>
      <c r="D46" s="9">
        <v>1.55</v>
      </c>
      <c r="E46" s="9">
        <v>2.055</v>
      </c>
      <c r="F46" s="9">
        <v>2.055</v>
      </c>
      <c r="G46" s="108">
        <f>(3*2.465+28*2.712)/31</f>
        <v>2.6880967741935486</v>
      </c>
      <c r="H46" s="106">
        <f t="shared" si="0"/>
        <v>1.9726027397260273</v>
      </c>
      <c r="I46" s="106">
        <f>27/365*30</f>
        <v>2.219178082191781</v>
      </c>
      <c r="J46" s="113">
        <f>(5*3.605+3.55+3.686+3*3.63+3.661+3.612+3.605+3.679+3*3.858+3.901+4.024+4.019+4.074+3*4.29+4.167+4.253+4.148+4.265+3*4.241)/31</f>
        <v>3.8943870967741936</v>
      </c>
      <c r="K46" s="102"/>
    </row>
    <row r="47" spans="1:11" ht="12.75">
      <c r="A47" s="101" t="s">
        <v>21</v>
      </c>
      <c r="B47" s="9">
        <v>1.55</v>
      </c>
      <c r="C47" s="9">
        <v>1.55</v>
      </c>
      <c r="D47" s="9">
        <v>1.55</v>
      </c>
      <c r="E47" s="9">
        <v>2.055</v>
      </c>
      <c r="F47" s="9">
        <v>2.055</v>
      </c>
      <c r="G47" s="106">
        <f>2.712</f>
        <v>2.712</v>
      </c>
      <c r="H47" s="106">
        <f t="shared" si="0"/>
        <v>1.9726027397260273</v>
      </c>
      <c r="I47" s="106">
        <f>27/365*30</f>
        <v>2.219178082191781</v>
      </c>
      <c r="J47" s="123">
        <f>(2*4.357+4.352+4.265+3*4.468+4.505+4.549+4.783*2+4.66*3+4.703+4.813+4.715*5+4.813+4.746+4.764+4.845+4.746*4+4.887)/30</f>
        <v>4.648833333333333</v>
      </c>
      <c r="K47" s="102"/>
    </row>
    <row r="48" spans="1:11" ht="12.75">
      <c r="A48" s="101" t="s">
        <v>22</v>
      </c>
      <c r="B48" s="9">
        <v>1.55</v>
      </c>
      <c r="C48" s="9">
        <v>1.55</v>
      </c>
      <c r="D48" s="9">
        <v>1.55</v>
      </c>
      <c r="E48" s="9">
        <v>2.055</v>
      </c>
      <c r="F48" s="9">
        <v>2.055</v>
      </c>
      <c r="G48" s="106">
        <f>2.712</f>
        <v>2.712</v>
      </c>
      <c r="H48" s="106">
        <f t="shared" si="0"/>
        <v>1.9726027397260273</v>
      </c>
      <c r="I48" s="113">
        <f>(3*2.219+4*2.342+13*2.712+3*3+8*2.367)/31</f>
        <v>2.5553870967741936</v>
      </c>
      <c r="J48" s="123">
        <f>(4.887+4.795+4.863*3+4.857+4.931+5.264+4.968+5.141*3+5.128+5.257+5.128+5.178+5.116*3+5.183+5.282+5.19+5.146+5.122*3+5.294*2+5.159+5.27+5.227)/31</f>
        <v>5.102064516129032</v>
      </c>
      <c r="K48" s="102"/>
    </row>
    <row r="49" spans="1:11" ht="12.75">
      <c r="A49" s="101" t="s">
        <v>23</v>
      </c>
      <c r="B49" s="9">
        <v>1.55</v>
      </c>
      <c r="C49" s="9">
        <v>1.55</v>
      </c>
      <c r="D49" s="9">
        <v>1.55</v>
      </c>
      <c r="E49" s="9">
        <v>2.055</v>
      </c>
      <c r="F49" s="9">
        <v>2.055</v>
      </c>
      <c r="G49" s="106">
        <f>2.712</f>
        <v>2.712</v>
      </c>
      <c r="H49" s="106">
        <f t="shared" si="0"/>
        <v>1.9726027397260273</v>
      </c>
      <c r="I49" s="113">
        <f>(5*(28.7985/365*30)+25*(34.28/365*30))/30</f>
        <v>2.7424452054794517</v>
      </c>
      <c r="J49" s="123">
        <f>(5.227*2+5.19*2+5.208+5.196+5.227*3+5.22+5.257+5.196+5.22+5.196*4+5.141+5.159*2+5.109*3+5.06+5.035+5.011+5.005+4.924*3)/30</f>
        <v>5.142166666666666</v>
      </c>
      <c r="K49" s="102"/>
    </row>
    <row r="50" spans="1:11" ht="12.75">
      <c r="A50" s="101" t="s">
        <v>24</v>
      </c>
      <c r="B50" s="9">
        <v>1.55</v>
      </c>
      <c r="C50" s="9">
        <v>1.55</v>
      </c>
      <c r="D50" s="9">
        <v>1.55</v>
      </c>
      <c r="E50" s="9">
        <v>2.055</v>
      </c>
      <c r="F50" s="9">
        <v>2.055</v>
      </c>
      <c r="G50" s="108">
        <f>(14*2.712+17*2.63)/31</f>
        <v>2.667032258064516</v>
      </c>
      <c r="H50" s="106">
        <f t="shared" si="0"/>
        <v>1.9726027397260273</v>
      </c>
      <c r="I50" s="113">
        <f>(4*2.817+27*3.004)/31</f>
        <v>2.9798709677419355</v>
      </c>
      <c r="J50" s="123">
        <f>(4.906+4.764+4.752+4.703+4.684*5+4.703+4.734+4.776*4+4.74+4.715+4.783+4.69*3+4.746+4.697+4.74+4.715+4.758*3+4.727+4.956+4.845)/31</f>
        <v>4.744967741935484</v>
      </c>
      <c r="K50" s="102"/>
    </row>
    <row r="51" spans="1:11" ht="12.75">
      <c r="A51" s="101" t="s">
        <v>25</v>
      </c>
      <c r="B51" s="9">
        <v>1.55</v>
      </c>
      <c r="C51" s="9">
        <v>1.55</v>
      </c>
      <c r="D51" s="9">
        <v>1.55</v>
      </c>
      <c r="E51" s="9">
        <v>2.055</v>
      </c>
      <c r="F51" s="9">
        <v>2.055</v>
      </c>
      <c r="G51" s="106">
        <f>32/365*30</f>
        <v>2.6301369863013697</v>
      </c>
      <c r="H51" s="106">
        <f t="shared" si="0"/>
        <v>1.9726027397260273</v>
      </c>
      <c r="I51" s="113">
        <f>(2*3.004+29*3.33)/31</f>
        <v>3.308967741935484</v>
      </c>
      <c r="J51" s="123">
        <f>(5.011+4.869*3+4.882+4.943+4.894+4.912*4+4.974+5.085+5.165+5.128+5.054*4+5.239+5.671+5.732+5.676*3+5.708+5.658+5.634+5.812+5.732*2)/31</f>
        <v>5.241903225806452</v>
      </c>
      <c r="K51" s="102"/>
    </row>
    <row r="52" spans="1:11" ht="12.75">
      <c r="A52" s="101" t="s">
        <v>26</v>
      </c>
      <c r="B52" s="9">
        <v>1.55</v>
      </c>
      <c r="C52" s="9">
        <v>1.55</v>
      </c>
      <c r="D52" s="9">
        <v>1.55</v>
      </c>
      <c r="E52" s="9">
        <v>2.055</v>
      </c>
      <c r="F52" s="9">
        <v>2.055</v>
      </c>
      <c r="G52" s="106">
        <f>32/365*30</f>
        <v>2.6301369863013697</v>
      </c>
      <c r="H52" s="106">
        <f t="shared" si="0"/>
        <v>1.9726027397260273</v>
      </c>
      <c r="I52" s="113">
        <f>(4*3.33+26*3.876)/30</f>
        <v>3.8032</v>
      </c>
      <c r="J52" s="124">
        <f>(5.732+5.695+5.917+5.713+5.676+5.726*3+5.837+5.985+5.905+5.96+6.009*3+5.837+6.016+5.96+5.967+5.991*3+5.935+5.93+5.96+5.905+5.856*3+5.898)/30</f>
        <v>5.8858</v>
      </c>
      <c r="K52" s="102"/>
    </row>
    <row r="53" spans="1:11" ht="12.75">
      <c r="A53" s="101" t="s">
        <v>27</v>
      </c>
      <c r="B53" s="9">
        <v>1.55</v>
      </c>
      <c r="C53" s="9">
        <v>1.55</v>
      </c>
      <c r="D53" s="9">
        <v>1.55</v>
      </c>
      <c r="E53" s="9">
        <v>2.055</v>
      </c>
      <c r="F53" s="9">
        <v>2.055</v>
      </c>
      <c r="G53" s="113">
        <f>(10*2.63+21*2.219)/31</f>
        <v>2.3515806451612904</v>
      </c>
      <c r="H53" s="106">
        <f t="shared" si="0"/>
        <v>1.9726027397260273</v>
      </c>
      <c r="I53" s="113">
        <f>(2*3.876+8*4.426+4.602+4*4.699+4.587+4.576+4.797+3*4.669+4.915+4.966+4.952+4.781+3*4.895+4.808+4.998+4.705)/31</f>
        <v>4.623709677419354</v>
      </c>
      <c r="J53" s="124">
        <f>(5.843+5.806+5.874+5.88*3+5.806+5.911+5.856+5.837+5.708*4+5.695+5.713+5.59+5.64*3+5.473+5.492+5.405+5.43+5.449*3+5.313+5.43+5.363+5.27)/31</f>
        <v>5.640193548387097</v>
      </c>
      <c r="K53" s="102"/>
    </row>
    <row r="54" spans="1:11" ht="12.75">
      <c r="A54" s="101" t="s">
        <v>28</v>
      </c>
      <c r="B54" s="9">
        <v>1.55</v>
      </c>
      <c r="C54" s="9">
        <v>1.55</v>
      </c>
      <c r="D54" s="9">
        <v>1.55</v>
      </c>
      <c r="E54" s="9">
        <v>2.055</v>
      </c>
      <c r="F54" s="9">
        <v>2.055</v>
      </c>
      <c r="G54" s="106">
        <f>27/365*30</f>
        <v>2.219178082191781</v>
      </c>
      <c r="H54" s="113">
        <f>(1*(24/365*30)+29*(26/365*30))/30</f>
        <v>2.1315068493150684</v>
      </c>
      <c r="I54" s="113">
        <f>(4.802+3*4.952+2*4.808+4.982+4.787+3*4.823+7.16+7.155+7.062+7.14+4*7.089+7.237+7.171+7.114+3*7.078+7.011+7.021+6.991+2*6.888)/30</f>
        <v>6.264666666666667</v>
      </c>
      <c r="J54" s="124">
        <f>(4.956*3+5.282+5.042*2+4.937+4.801*3+4.776+4.703+4.697+4.586+4.684*4+4.586+4.579+4.561+4.505*3+4.653+4.475+4.45+4.468+4.444*2)/30</f>
        <v>4.708233333333334</v>
      </c>
      <c r="K54" s="102"/>
    </row>
    <row r="55" spans="1:11" ht="13.5" thickBot="1">
      <c r="A55" s="103" t="s">
        <v>29</v>
      </c>
      <c r="B55" s="104">
        <v>1.55</v>
      </c>
      <c r="C55" s="104">
        <v>1.55</v>
      </c>
      <c r="D55" s="104">
        <v>1.55</v>
      </c>
      <c r="E55" s="104">
        <v>2.055</v>
      </c>
      <c r="F55" s="104">
        <v>2.055</v>
      </c>
      <c r="G55" s="114">
        <f>(25*(27/365*30)+6*(25/365*30))/31</f>
        <v>2.1873619089703933</v>
      </c>
      <c r="H55" s="114">
        <f>(3*(26/365*30)+28*(27/365*30))/31</f>
        <v>2.2112240388864337</v>
      </c>
      <c r="I55" s="114">
        <f>(2*6.88+7.119+4.814+5.091+4.993+3*5.054+4.857+4.949+4.85+4.857+3*4.82+4.734+4.894+4.715+4.789+5*4.666+4.783+4.74+4*4.887)/31</f>
        <v>5.046612903225808</v>
      </c>
      <c r="J55" s="130">
        <f>(4.444+4.394+4.475+4.376+4.394+4.357*4+4.37+4.29+4.333+4.209*3+4.191+4.228+4.172*2+4.13*3+4.105*3+4.068+4.105*3+4.031*2)/31</f>
        <v>4.227225806451612</v>
      </c>
      <c r="K55" s="105"/>
    </row>
    <row r="58" ht="12.75">
      <c r="A58" s="84" t="s">
        <v>52</v>
      </c>
    </row>
    <row r="59" ht="12.75">
      <c r="A59" s="86" t="s">
        <v>51</v>
      </c>
    </row>
    <row r="60" ht="12.75">
      <c r="A60" s="96">
        <f>'TASA PASIVA'!C186</f>
        <v>43867</v>
      </c>
    </row>
  </sheetData>
  <sheetProtection/>
  <hyperlinks>
    <hyperlink ref="D11" r:id="rId1" display="www.consejo.org.ar"/>
    <hyperlink ref="F12" r:id="rId2" display="www.bna.com.ar"/>
    <hyperlink ref="E13" r:id="rId3" display="www.ambito.com"/>
  </hyperlinks>
  <printOptions/>
  <pageMargins left="0.7480314960629921" right="0.15748031496062992" top="0.3937007874015748" bottom="0.984251968503937" header="0" footer="0"/>
  <pageSetup horizontalDpi="600" verticalDpi="600" orientation="portrait" paperSize="9" r:id="rId5"/>
  <headerFooter alignWithMargins="0">
    <oddFooter>&amp;RConstrucción y Mantenimiento:
CPN Cristian G. Cuello
Comisión Actuación Judicial - CGCE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9:G368"/>
  <sheetViews>
    <sheetView showGridLines="0" tabSelected="1" zoomScalePageLayoutView="0" workbookViewId="0" topLeftCell="A1">
      <pane ySplit="15" topLeftCell="A357" activePane="bottomLeft" state="frozen"/>
      <selection pane="topLeft" activeCell="A1" sqref="A1"/>
      <selection pane="bottomLeft" activeCell="D368" sqref="D368"/>
    </sheetView>
  </sheetViews>
  <sheetFormatPr defaultColWidth="11.421875" defaultRowHeight="12.75"/>
  <cols>
    <col min="1" max="2" width="11.421875" style="7" customWidth="1"/>
    <col min="3" max="3" width="11.421875" style="8" customWidth="1"/>
    <col min="4" max="16384" width="11.421875" style="7" customWidth="1"/>
  </cols>
  <sheetData>
    <row r="1" ht="12.75"/>
    <row r="2" ht="12.75"/>
    <row r="3" ht="12.75"/>
    <row r="4" ht="12.75"/>
    <row r="5" ht="12.75"/>
    <row r="6" ht="12.75"/>
    <row r="7" ht="12.75"/>
    <row r="9" spans="1:7" ht="14.25">
      <c r="A9" s="60" t="s">
        <v>48</v>
      </c>
      <c r="B9" s="61"/>
      <c r="C9" s="61"/>
      <c r="D9" s="61"/>
      <c r="E9" s="61"/>
      <c r="F9" s="61"/>
      <c r="G9" s="62"/>
    </row>
    <row r="10" spans="1:7" ht="12.75">
      <c r="A10" s="63" t="s">
        <v>39</v>
      </c>
      <c r="B10" s="61"/>
      <c r="C10" s="61"/>
      <c r="D10" s="61"/>
      <c r="E10" s="61"/>
      <c r="F10" s="61"/>
      <c r="G10" s="62"/>
    </row>
    <row r="11" spans="1:6" ht="12.75">
      <c r="A11" s="4"/>
      <c r="B11" s="4"/>
      <c r="C11" s="4"/>
      <c r="D11" s="4"/>
      <c r="E11" s="4"/>
      <c r="F11" s="4"/>
    </row>
    <row r="12" spans="1:6" ht="13.5">
      <c r="A12" s="12" t="s">
        <v>36</v>
      </c>
      <c r="B12" s="12" t="s">
        <v>40</v>
      </c>
      <c r="C12" s="12"/>
      <c r="D12" s="12"/>
      <c r="E12" s="4"/>
      <c r="F12" s="4"/>
    </row>
    <row r="13" spans="1:6" ht="13.5">
      <c r="A13" s="12" t="s">
        <v>41</v>
      </c>
      <c r="B13" s="12" t="s">
        <v>42</v>
      </c>
      <c r="C13" s="12"/>
      <c r="D13" s="12"/>
      <c r="E13" s="4"/>
      <c r="F13" s="4"/>
    </row>
    <row r="14" spans="1:7" ht="12.75">
      <c r="A14" s="14"/>
      <c r="B14" s="14"/>
      <c r="C14" s="128" t="s">
        <v>35</v>
      </c>
      <c r="D14" s="129"/>
      <c r="E14" s="73" t="s">
        <v>34</v>
      </c>
      <c r="F14" s="14"/>
      <c r="G14" s="14"/>
    </row>
    <row r="15" spans="1:7" ht="12.75">
      <c r="A15" s="15" t="s">
        <v>32</v>
      </c>
      <c r="B15" s="15" t="s">
        <v>33</v>
      </c>
      <c r="C15" s="42" t="s">
        <v>2</v>
      </c>
      <c r="D15" s="43" t="s">
        <v>3</v>
      </c>
      <c r="E15" s="74" t="s">
        <v>49</v>
      </c>
      <c r="F15" s="15"/>
      <c r="G15" s="15"/>
    </row>
    <row r="16" spans="1:5" ht="12.75">
      <c r="A16" s="7">
        <v>1991</v>
      </c>
      <c r="B16" s="7" t="s">
        <v>4</v>
      </c>
      <c r="C16" s="9" t="s">
        <v>18</v>
      </c>
      <c r="D16" s="10">
        <f>(0.07*2+0.08*5+0.085+0.095*2+0.12*3+0.15+0.165*3+0.16*3+0.15*2+0.13+0.11+0.1*3+0.095*3+0.11)/31</f>
        <v>0.11403225806451613</v>
      </c>
      <c r="E16" s="75" t="s">
        <v>31</v>
      </c>
    </row>
    <row r="17" spans="2:5" ht="12.75">
      <c r="B17" s="7" t="s">
        <v>5</v>
      </c>
      <c r="C17" s="9" t="s">
        <v>18</v>
      </c>
      <c r="D17" s="3">
        <f>SUM(3*14%+7*15%+9*17%+5*15.5%+4*14%)/28</f>
        <v>0.15482142857142858</v>
      </c>
      <c r="E17" s="75" t="s">
        <v>31</v>
      </c>
    </row>
    <row r="18" spans="2:5" ht="12.75">
      <c r="B18" s="7" t="s">
        <v>6</v>
      </c>
      <c r="C18" s="9" t="s">
        <v>18</v>
      </c>
      <c r="D18" s="3">
        <f>(4*14%+7*17%+13%+9*10.5%+3*2.75%+7*2.25%)/31</f>
        <v>0.0988709677419355</v>
      </c>
      <c r="E18" s="75" t="s">
        <v>31</v>
      </c>
    </row>
    <row r="19" spans="2:5" ht="12.75">
      <c r="B19" s="7" t="s">
        <v>7</v>
      </c>
      <c r="C19" s="9">
        <v>5.01</v>
      </c>
      <c r="D19" s="10">
        <v>0.0183</v>
      </c>
      <c r="E19" s="76">
        <f>(C19/100+D19)/2</f>
        <v>0.0342</v>
      </c>
    </row>
    <row r="20" spans="2:5" ht="12.75">
      <c r="B20" s="7" t="s">
        <v>8</v>
      </c>
      <c r="C20" s="9">
        <v>4.69</v>
      </c>
      <c r="D20" s="10">
        <v>0.01497</v>
      </c>
      <c r="E20" s="76">
        <f aca="true" t="shared" si="0" ref="E20:E83">(C20/100+D20)/2</f>
        <v>0.030935000000000004</v>
      </c>
    </row>
    <row r="21" spans="2:5" ht="12.75">
      <c r="B21" s="7" t="s">
        <v>9</v>
      </c>
      <c r="C21" s="9">
        <v>5</v>
      </c>
      <c r="D21" s="10">
        <v>0.017</v>
      </c>
      <c r="E21" s="76">
        <f t="shared" si="0"/>
        <v>0.0335</v>
      </c>
    </row>
    <row r="22" spans="2:5" ht="12.75">
      <c r="B22" s="7" t="s">
        <v>10</v>
      </c>
      <c r="C22" s="9">
        <v>5</v>
      </c>
      <c r="D22" s="10">
        <v>0.017</v>
      </c>
      <c r="E22" s="76">
        <f t="shared" si="0"/>
        <v>0.0335</v>
      </c>
    </row>
    <row r="23" spans="2:5" ht="12.75">
      <c r="B23" s="7" t="s">
        <v>11</v>
      </c>
      <c r="C23" s="9">
        <v>4.7</v>
      </c>
      <c r="D23" s="10">
        <v>0.01487</v>
      </c>
      <c r="E23" s="76">
        <f t="shared" si="0"/>
        <v>0.030935</v>
      </c>
    </row>
    <row r="24" spans="2:5" ht="12.75">
      <c r="B24" s="7" t="s">
        <v>12</v>
      </c>
      <c r="C24" s="9">
        <v>3</v>
      </c>
      <c r="D24" s="10">
        <f>(5*1.2%+25*1.15%)/30</f>
        <v>0.011583333333333333</v>
      </c>
      <c r="E24" s="76">
        <f t="shared" si="0"/>
        <v>0.020791666666666667</v>
      </c>
    </row>
    <row r="25" spans="2:5" ht="12.75">
      <c r="B25" s="7" t="s">
        <v>13</v>
      </c>
      <c r="C25" s="9">
        <v>3</v>
      </c>
      <c r="D25" s="10">
        <v>0.0115</v>
      </c>
      <c r="E25" s="76">
        <f t="shared" si="0"/>
        <v>0.020749999999999998</v>
      </c>
    </row>
    <row r="26" spans="2:5" ht="12.75">
      <c r="B26" s="7" t="s">
        <v>14</v>
      </c>
      <c r="C26" s="9">
        <v>3</v>
      </c>
      <c r="D26" s="10">
        <v>0.0115</v>
      </c>
      <c r="E26" s="76">
        <f t="shared" si="0"/>
        <v>0.020749999999999998</v>
      </c>
    </row>
    <row r="27" spans="1:7" ht="12.75">
      <c r="A27" s="15"/>
      <c r="B27" s="15" t="s">
        <v>15</v>
      </c>
      <c r="C27" s="47">
        <v>3</v>
      </c>
      <c r="D27" s="48">
        <f>(3*1.15%+28*1.4%)/31</f>
        <v>0.013758064516129032</v>
      </c>
      <c r="E27" s="77">
        <f t="shared" si="0"/>
        <v>0.021879032258064514</v>
      </c>
      <c r="F27" s="15"/>
      <c r="G27" s="15"/>
    </row>
    <row r="28" spans="1:7" ht="12.75">
      <c r="A28" s="44">
        <v>1992</v>
      </c>
      <c r="B28" s="44" t="s">
        <v>4</v>
      </c>
      <c r="C28" s="45">
        <v>3</v>
      </c>
      <c r="D28" s="46">
        <v>0.014</v>
      </c>
      <c r="E28" s="78">
        <f t="shared" si="0"/>
        <v>0.022</v>
      </c>
      <c r="F28" s="44"/>
      <c r="G28" s="44"/>
    </row>
    <row r="29" spans="1:7" ht="12.75">
      <c r="A29" s="44"/>
      <c r="B29" s="44" t="s">
        <v>5</v>
      </c>
      <c r="C29" s="45">
        <v>3</v>
      </c>
      <c r="D29" s="46">
        <v>0.014</v>
      </c>
      <c r="E29" s="78">
        <f t="shared" si="0"/>
        <v>0.022</v>
      </c>
      <c r="F29" s="44"/>
      <c r="G29" s="44"/>
    </row>
    <row r="30" spans="1:7" ht="12.75">
      <c r="A30" s="44"/>
      <c r="B30" s="44" t="s">
        <v>6</v>
      </c>
      <c r="C30" s="45">
        <v>2.5</v>
      </c>
      <c r="D30" s="46">
        <v>0.014</v>
      </c>
      <c r="E30" s="78">
        <f t="shared" si="0"/>
        <v>0.0195</v>
      </c>
      <c r="F30" s="44"/>
      <c r="G30" s="44"/>
    </row>
    <row r="31" spans="1:7" ht="12.75">
      <c r="A31" s="44"/>
      <c r="B31" s="44" t="s">
        <v>7</v>
      </c>
      <c r="C31" s="45">
        <v>2.5</v>
      </c>
      <c r="D31" s="46">
        <v>0.014</v>
      </c>
      <c r="E31" s="78">
        <f t="shared" si="0"/>
        <v>0.0195</v>
      </c>
      <c r="F31" s="44"/>
      <c r="G31" s="44"/>
    </row>
    <row r="32" spans="1:7" ht="12.75">
      <c r="A32" s="44"/>
      <c r="B32" s="44" t="s">
        <v>8</v>
      </c>
      <c r="C32" s="45">
        <v>2.5</v>
      </c>
      <c r="D32" s="46">
        <v>0.014</v>
      </c>
      <c r="E32" s="78">
        <f t="shared" si="0"/>
        <v>0.0195</v>
      </c>
      <c r="F32" s="44"/>
      <c r="G32" s="44"/>
    </row>
    <row r="33" spans="1:7" ht="12.75">
      <c r="A33" s="44"/>
      <c r="B33" s="44" t="s">
        <v>9</v>
      </c>
      <c r="C33" s="45">
        <v>2.28</v>
      </c>
      <c r="D33" s="46">
        <f>(25*1.4%+5*1.3%)/30</f>
        <v>0.013833333333333333</v>
      </c>
      <c r="E33" s="78">
        <f t="shared" si="0"/>
        <v>0.018316666666666665</v>
      </c>
      <c r="F33" s="44"/>
      <c r="G33" s="44"/>
    </row>
    <row r="34" spans="1:7" ht="12.75">
      <c r="A34" s="44"/>
      <c r="B34" s="44" t="s">
        <v>10</v>
      </c>
      <c r="C34" s="45">
        <v>2.2</v>
      </c>
      <c r="D34" s="46">
        <v>0.013</v>
      </c>
      <c r="E34" s="78">
        <f t="shared" si="0"/>
        <v>0.0175</v>
      </c>
      <c r="F34" s="44"/>
      <c r="G34" s="44"/>
    </row>
    <row r="35" spans="1:7" ht="12.75">
      <c r="A35" s="44"/>
      <c r="B35" s="44" t="s">
        <v>11</v>
      </c>
      <c r="C35" s="45">
        <v>2.2</v>
      </c>
      <c r="D35" s="46">
        <v>0.013</v>
      </c>
      <c r="E35" s="78">
        <f t="shared" si="0"/>
        <v>0.0175</v>
      </c>
      <c r="F35" s="44"/>
      <c r="G35" s="44"/>
    </row>
    <row r="36" spans="1:7" ht="12.75">
      <c r="A36" s="44"/>
      <c r="B36" s="44" t="s">
        <v>12</v>
      </c>
      <c r="C36" s="45">
        <v>2.2</v>
      </c>
      <c r="D36" s="46">
        <v>0.013</v>
      </c>
      <c r="E36" s="78">
        <f t="shared" si="0"/>
        <v>0.0175</v>
      </c>
      <c r="F36" s="44"/>
      <c r="G36" s="44"/>
    </row>
    <row r="37" spans="1:7" ht="12.75">
      <c r="A37" s="44"/>
      <c r="B37" s="44" t="s">
        <v>13</v>
      </c>
      <c r="C37" s="45">
        <v>2.05</v>
      </c>
      <c r="D37" s="46">
        <v>0.013</v>
      </c>
      <c r="E37" s="78">
        <f t="shared" si="0"/>
        <v>0.016749999999999998</v>
      </c>
      <c r="F37" s="44"/>
      <c r="G37" s="44"/>
    </row>
    <row r="38" spans="1:7" ht="12.75">
      <c r="A38" s="44"/>
      <c r="B38" s="44" t="s">
        <v>14</v>
      </c>
      <c r="C38" s="45">
        <v>2</v>
      </c>
      <c r="D38" s="46">
        <f>(24*1.3%+6*1.45%)/30</f>
        <v>0.013300000000000001</v>
      </c>
      <c r="E38" s="78">
        <f t="shared" si="0"/>
        <v>0.01665</v>
      </c>
      <c r="F38" s="44"/>
      <c r="G38" s="44"/>
    </row>
    <row r="39" spans="1:7" ht="12.75">
      <c r="A39" s="49"/>
      <c r="B39" s="49" t="s">
        <v>15</v>
      </c>
      <c r="C39" s="50">
        <v>2</v>
      </c>
      <c r="D39" s="51">
        <v>0.0145</v>
      </c>
      <c r="E39" s="79">
        <f t="shared" si="0"/>
        <v>0.01725</v>
      </c>
      <c r="F39" s="49"/>
      <c r="G39" s="49"/>
    </row>
    <row r="40" spans="1:5" ht="12.75">
      <c r="A40" s="7">
        <v>1993</v>
      </c>
      <c r="B40" s="7" t="s">
        <v>4</v>
      </c>
      <c r="C40" s="9">
        <v>2</v>
      </c>
      <c r="D40" s="10">
        <v>0.0145</v>
      </c>
      <c r="E40" s="76">
        <f t="shared" si="0"/>
        <v>0.01725</v>
      </c>
    </row>
    <row r="41" spans="2:5" ht="12.75">
      <c r="B41" s="7" t="s">
        <v>5</v>
      </c>
      <c r="C41" s="9">
        <v>2</v>
      </c>
      <c r="D41" s="10">
        <f>(10*1.45%+18*1.1%)/28</f>
        <v>0.012249999999999999</v>
      </c>
      <c r="E41" s="76">
        <f t="shared" si="0"/>
        <v>0.016125</v>
      </c>
    </row>
    <row r="42" spans="2:5" ht="12.75">
      <c r="B42" s="7" t="s">
        <v>6</v>
      </c>
      <c r="C42" s="9">
        <v>1.85</v>
      </c>
      <c r="D42" s="10">
        <f>(12*1.1%+19*1%)/31</f>
        <v>0.010387096774193548</v>
      </c>
      <c r="E42" s="76">
        <f t="shared" si="0"/>
        <v>0.014443548387096775</v>
      </c>
    </row>
    <row r="43" spans="2:5" ht="12.75">
      <c r="B43" s="7" t="s">
        <v>7</v>
      </c>
      <c r="C43" s="9">
        <v>1.8</v>
      </c>
      <c r="D43" s="10">
        <v>0.01</v>
      </c>
      <c r="E43" s="76">
        <f t="shared" si="0"/>
        <v>0.014000000000000002</v>
      </c>
    </row>
    <row r="44" spans="2:5" ht="12.75">
      <c r="B44" s="7" t="s">
        <v>8</v>
      </c>
      <c r="C44" s="9">
        <v>1.63</v>
      </c>
      <c r="D44" s="10">
        <f>(5*1%+26*0.9%)/31</f>
        <v>0.009161290322580647</v>
      </c>
      <c r="E44" s="76">
        <f t="shared" si="0"/>
        <v>0.012730645161290324</v>
      </c>
    </row>
    <row r="45" spans="2:5" ht="12.75">
      <c r="B45" s="7" t="s">
        <v>9</v>
      </c>
      <c r="C45" s="9">
        <v>1.6</v>
      </c>
      <c r="D45" s="10">
        <v>0.009</v>
      </c>
      <c r="E45" s="76">
        <f t="shared" si="0"/>
        <v>0.0125</v>
      </c>
    </row>
    <row r="46" spans="2:5" ht="12.75">
      <c r="B46" s="7" t="s">
        <v>10</v>
      </c>
      <c r="C46" s="9">
        <v>1.6</v>
      </c>
      <c r="D46" s="10">
        <v>0.009</v>
      </c>
      <c r="E46" s="76">
        <f t="shared" si="0"/>
        <v>0.0125</v>
      </c>
    </row>
    <row r="47" spans="2:5" ht="12.75">
      <c r="B47" s="7" t="s">
        <v>11</v>
      </c>
      <c r="C47" s="9">
        <v>1.6</v>
      </c>
      <c r="D47" s="10">
        <v>0.009</v>
      </c>
      <c r="E47" s="76">
        <f t="shared" si="0"/>
        <v>0.0125</v>
      </c>
    </row>
    <row r="48" spans="2:5" ht="12.75">
      <c r="B48" s="7" t="s">
        <v>12</v>
      </c>
      <c r="C48" s="9">
        <v>1.6</v>
      </c>
      <c r="D48" s="10">
        <f>(19*0.75%+11*0.65%)/30</f>
        <v>0.0071333333333333335</v>
      </c>
      <c r="E48" s="76">
        <f t="shared" si="0"/>
        <v>0.011566666666666666</v>
      </c>
    </row>
    <row r="49" spans="2:5" ht="12.75">
      <c r="B49" s="7" t="s">
        <v>13</v>
      </c>
      <c r="C49" s="9">
        <v>1.6</v>
      </c>
      <c r="D49" s="10">
        <f>(14*0.65%+17*0.6%)/31</f>
        <v>0.006225806451612904</v>
      </c>
      <c r="E49" s="76">
        <f t="shared" si="0"/>
        <v>0.011112903225806452</v>
      </c>
    </row>
    <row r="50" spans="2:5" ht="12.75">
      <c r="B50" s="7" t="s">
        <v>14</v>
      </c>
      <c r="C50" s="9">
        <v>1.6</v>
      </c>
      <c r="D50" s="10">
        <v>0.006</v>
      </c>
      <c r="E50" s="76">
        <f t="shared" si="0"/>
        <v>0.011</v>
      </c>
    </row>
    <row r="51" spans="1:7" ht="12.75">
      <c r="A51" s="15"/>
      <c r="B51" s="15" t="s">
        <v>15</v>
      </c>
      <c r="C51" s="47">
        <v>1.6</v>
      </c>
      <c r="D51" s="48">
        <v>0.006</v>
      </c>
      <c r="E51" s="77">
        <f t="shared" si="0"/>
        <v>0.011</v>
      </c>
      <c r="F51" s="15"/>
      <c r="G51" s="15"/>
    </row>
    <row r="52" spans="1:5" ht="12.75">
      <c r="A52" s="7">
        <v>1994</v>
      </c>
      <c r="B52" s="7" t="s">
        <v>4</v>
      </c>
      <c r="C52" s="9">
        <v>1.6</v>
      </c>
      <c r="D52" s="10">
        <v>0.006</v>
      </c>
      <c r="E52" s="76">
        <f t="shared" si="0"/>
        <v>0.011</v>
      </c>
    </row>
    <row r="53" spans="2:5" ht="12.75">
      <c r="B53" s="7" t="s">
        <v>5</v>
      </c>
      <c r="C53" s="9">
        <v>1.6</v>
      </c>
      <c r="D53" s="10">
        <v>0.006</v>
      </c>
      <c r="E53" s="76">
        <f t="shared" si="0"/>
        <v>0.011</v>
      </c>
    </row>
    <row r="54" spans="2:5" ht="12.75">
      <c r="B54" s="7" t="s">
        <v>6</v>
      </c>
      <c r="C54" s="9">
        <v>1.6</v>
      </c>
      <c r="D54" s="10">
        <v>0.006</v>
      </c>
      <c r="E54" s="76">
        <f t="shared" si="0"/>
        <v>0.011</v>
      </c>
    </row>
    <row r="55" spans="2:5" ht="12.75">
      <c r="B55" s="7" t="s">
        <v>7</v>
      </c>
      <c r="C55" s="9">
        <v>1.6</v>
      </c>
      <c r="D55" s="10">
        <v>0.006</v>
      </c>
      <c r="E55" s="76">
        <f t="shared" si="0"/>
        <v>0.011</v>
      </c>
    </row>
    <row r="56" spans="2:5" ht="12.75">
      <c r="B56" s="7" t="s">
        <v>8</v>
      </c>
      <c r="C56" s="9">
        <v>1.6</v>
      </c>
      <c r="D56" s="10">
        <f>(23*0.6%+8*0.55%)/31</f>
        <v>0.005870967741935485</v>
      </c>
      <c r="E56" s="76">
        <f t="shared" si="0"/>
        <v>0.010935483870967742</v>
      </c>
    </row>
    <row r="57" spans="2:5" ht="12.75">
      <c r="B57" s="7" t="s">
        <v>9</v>
      </c>
      <c r="C57" s="9">
        <v>1.6</v>
      </c>
      <c r="D57" s="10">
        <v>0.0055</v>
      </c>
      <c r="E57" s="76">
        <f t="shared" si="0"/>
        <v>0.01075</v>
      </c>
    </row>
    <row r="58" spans="2:5" ht="12.75">
      <c r="B58" s="7" t="s">
        <v>10</v>
      </c>
      <c r="C58" s="9">
        <v>1.6</v>
      </c>
      <c r="D58" s="10">
        <f>(10*0.55%+21*0.6%)/31</f>
        <v>0.005838709677419355</v>
      </c>
      <c r="E58" s="76">
        <f t="shared" si="0"/>
        <v>0.010919354838709677</v>
      </c>
    </row>
    <row r="59" spans="2:5" ht="12.75">
      <c r="B59" s="7" t="s">
        <v>11</v>
      </c>
      <c r="C59" s="9">
        <v>1.6</v>
      </c>
      <c r="D59" s="10">
        <v>0.006</v>
      </c>
      <c r="E59" s="76">
        <f t="shared" si="0"/>
        <v>0.011</v>
      </c>
    </row>
    <row r="60" spans="2:5" ht="12.75">
      <c r="B60" s="7" t="s">
        <v>12</v>
      </c>
      <c r="C60" s="9">
        <v>1.6</v>
      </c>
      <c r="D60" s="10">
        <v>0.006</v>
      </c>
      <c r="E60" s="76">
        <f t="shared" si="0"/>
        <v>0.011</v>
      </c>
    </row>
    <row r="61" spans="2:5" ht="12.75">
      <c r="B61" s="7" t="s">
        <v>13</v>
      </c>
      <c r="C61" s="9">
        <v>1.6</v>
      </c>
      <c r="D61" s="10">
        <v>0.006</v>
      </c>
      <c r="E61" s="76">
        <f t="shared" si="0"/>
        <v>0.011</v>
      </c>
    </row>
    <row r="62" spans="2:5" ht="12.75">
      <c r="B62" s="7" t="s">
        <v>14</v>
      </c>
      <c r="C62" s="9">
        <v>1.6</v>
      </c>
      <c r="D62" s="10">
        <v>0.006</v>
      </c>
      <c r="E62" s="76">
        <f t="shared" si="0"/>
        <v>0.011</v>
      </c>
    </row>
    <row r="63" spans="1:7" ht="12.75">
      <c r="A63" s="15"/>
      <c r="B63" s="15" t="s">
        <v>15</v>
      </c>
      <c r="C63" s="47">
        <v>1.66</v>
      </c>
      <c r="D63" s="48">
        <f>(6*0.6%+25*0.65%)/31</f>
        <v>0.006403225806451613</v>
      </c>
      <c r="E63" s="77">
        <f t="shared" si="0"/>
        <v>0.011501612903225806</v>
      </c>
      <c r="F63" s="15"/>
      <c r="G63" s="15"/>
    </row>
    <row r="64" spans="1:5" ht="12.75">
      <c r="A64" s="7">
        <v>1995</v>
      </c>
      <c r="B64" s="7" t="s">
        <v>4</v>
      </c>
      <c r="C64" s="9">
        <v>1.67</v>
      </c>
      <c r="D64" s="10">
        <v>0.0065</v>
      </c>
      <c r="E64" s="76">
        <f t="shared" si="0"/>
        <v>0.0116</v>
      </c>
    </row>
    <row r="65" spans="2:5" ht="12.75">
      <c r="B65" s="7" t="s">
        <v>5</v>
      </c>
      <c r="C65" s="9">
        <v>1.75</v>
      </c>
      <c r="D65" s="10">
        <f>(8*0.65%+15*0.7%+5*0.82%)/28</f>
        <v>0.00707142857142857</v>
      </c>
      <c r="E65" s="76">
        <f t="shared" si="0"/>
        <v>0.012285714285714285</v>
      </c>
    </row>
    <row r="66" spans="2:5" ht="12.75">
      <c r="B66" s="7" t="s">
        <v>6</v>
      </c>
      <c r="C66" s="9">
        <v>2.25</v>
      </c>
      <c r="D66" s="10">
        <f>(2*0.82%+10*1.2%+19*1.25%)/31</f>
        <v>0.012061290322580645</v>
      </c>
      <c r="E66" s="76">
        <f t="shared" si="0"/>
        <v>0.017280645161290322</v>
      </c>
    </row>
    <row r="67" spans="2:5" ht="12.75">
      <c r="B67" s="7" t="s">
        <v>7</v>
      </c>
      <c r="C67" s="9">
        <v>2.38</v>
      </c>
      <c r="D67" s="10">
        <v>0.0125</v>
      </c>
      <c r="E67" s="76">
        <f t="shared" si="0"/>
        <v>0.01815</v>
      </c>
    </row>
    <row r="68" spans="2:5" ht="12.75">
      <c r="B68" s="7" t="s">
        <v>8</v>
      </c>
      <c r="C68" s="9">
        <v>2.12</v>
      </c>
      <c r="D68" s="10">
        <f>(15*1.25%+2*1.15%+7*1%+5*0.92%+0.87%+0.82%)/31</f>
        <v>0.011077419354838707</v>
      </c>
      <c r="E68" s="76">
        <f t="shared" si="0"/>
        <v>0.016138709677419354</v>
      </c>
    </row>
    <row r="69" spans="2:5" ht="12.75">
      <c r="B69" s="7" t="s">
        <v>9</v>
      </c>
      <c r="C69" s="9">
        <v>1.67</v>
      </c>
      <c r="D69" s="10">
        <v>0.0082</v>
      </c>
      <c r="E69" s="76">
        <f t="shared" si="0"/>
        <v>0.01245</v>
      </c>
    </row>
    <row r="70" spans="2:5" ht="12.75">
      <c r="B70" s="7" t="s">
        <v>10</v>
      </c>
      <c r="C70" s="9">
        <v>1.64</v>
      </c>
      <c r="D70" s="10">
        <f>(6*0.82%+25*0.78%)/31</f>
        <v>0.007877419354838709</v>
      </c>
      <c r="E70" s="76">
        <f t="shared" si="0"/>
        <v>0.012138709677419354</v>
      </c>
    </row>
    <row r="71" spans="2:5" ht="12.75">
      <c r="B71" s="7" t="s">
        <v>11</v>
      </c>
      <c r="C71" s="9">
        <v>1.6</v>
      </c>
      <c r="D71" s="10">
        <v>0.0062</v>
      </c>
      <c r="E71" s="76">
        <f t="shared" si="0"/>
        <v>0.0111</v>
      </c>
    </row>
    <row r="72" spans="2:5" ht="12.75">
      <c r="B72" s="7" t="s">
        <v>12</v>
      </c>
      <c r="C72" s="9">
        <v>1.6</v>
      </c>
      <c r="D72" s="10">
        <v>0.0062</v>
      </c>
      <c r="E72" s="76">
        <f t="shared" si="0"/>
        <v>0.0111</v>
      </c>
    </row>
    <row r="73" spans="2:5" ht="12.75">
      <c r="B73" s="7" t="s">
        <v>13</v>
      </c>
      <c r="C73" s="9">
        <v>1.6</v>
      </c>
      <c r="D73" s="10">
        <v>0.0062</v>
      </c>
      <c r="E73" s="76">
        <f t="shared" si="0"/>
        <v>0.0111</v>
      </c>
    </row>
    <row r="74" spans="2:5" ht="12.75">
      <c r="B74" s="7" t="s">
        <v>14</v>
      </c>
      <c r="C74" s="9">
        <v>1.6</v>
      </c>
      <c r="D74" s="10">
        <v>0.0062</v>
      </c>
      <c r="E74" s="76">
        <f t="shared" si="0"/>
        <v>0.0111</v>
      </c>
    </row>
    <row r="75" spans="1:7" ht="12.75">
      <c r="A75" s="15"/>
      <c r="B75" s="15" t="s">
        <v>15</v>
      </c>
      <c r="C75" s="47">
        <v>1.6</v>
      </c>
      <c r="D75" s="48">
        <v>0.0062</v>
      </c>
      <c r="E75" s="77">
        <f t="shared" si="0"/>
        <v>0.0111</v>
      </c>
      <c r="F75" s="15"/>
      <c r="G75" s="15"/>
    </row>
    <row r="76" spans="1:5" ht="12.75">
      <c r="A76" s="7">
        <v>1996</v>
      </c>
      <c r="B76" s="7" t="s">
        <v>4</v>
      </c>
      <c r="C76" s="9">
        <v>1.6</v>
      </c>
      <c r="D76" s="10">
        <v>0.0062</v>
      </c>
      <c r="E76" s="76">
        <f t="shared" si="0"/>
        <v>0.0111</v>
      </c>
    </row>
    <row r="77" spans="2:5" ht="12.75">
      <c r="B77" s="7" t="s">
        <v>5</v>
      </c>
      <c r="C77" s="9">
        <v>1.6</v>
      </c>
      <c r="D77" s="10">
        <f>(12*0.62%+16*0.6%)/28</f>
        <v>0.0060857142857142854</v>
      </c>
      <c r="E77" s="76">
        <f t="shared" si="0"/>
        <v>0.011042857142857142</v>
      </c>
    </row>
    <row r="78" spans="2:5" ht="12.75">
      <c r="B78" s="7" t="s">
        <v>6</v>
      </c>
      <c r="C78" s="9">
        <v>1.6</v>
      </c>
      <c r="D78" s="10">
        <v>0.006</v>
      </c>
      <c r="E78" s="76">
        <f t="shared" si="0"/>
        <v>0.011</v>
      </c>
    </row>
    <row r="79" spans="2:5" ht="12.75">
      <c r="B79" s="7" t="s">
        <v>7</v>
      </c>
      <c r="C79" s="9">
        <v>1.6</v>
      </c>
      <c r="D79" s="10">
        <v>0.006</v>
      </c>
      <c r="E79" s="76">
        <f t="shared" si="0"/>
        <v>0.011</v>
      </c>
    </row>
    <row r="80" spans="2:5" ht="12.75">
      <c r="B80" s="7" t="s">
        <v>8</v>
      </c>
      <c r="C80" s="9">
        <v>1.4</v>
      </c>
      <c r="D80" s="10">
        <f>(27*0.6%+4*0.48%)/31</f>
        <v>0.005845161290322581</v>
      </c>
      <c r="E80" s="76">
        <f t="shared" si="0"/>
        <v>0.00992258064516129</v>
      </c>
    </row>
    <row r="81" spans="2:5" ht="12.75">
      <c r="B81" s="7" t="s">
        <v>9</v>
      </c>
      <c r="C81" s="9">
        <v>1.4</v>
      </c>
      <c r="D81" s="10">
        <v>0.0048</v>
      </c>
      <c r="E81" s="76">
        <f t="shared" si="0"/>
        <v>0.009399999999999999</v>
      </c>
    </row>
    <row r="82" spans="2:5" ht="12.75">
      <c r="B82" s="7" t="s">
        <v>10</v>
      </c>
      <c r="C82" s="9">
        <v>1.4</v>
      </c>
      <c r="D82" s="10">
        <v>0.0048</v>
      </c>
      <c r="E82" s="76">
        <f t="shared" si="0"/>
        <v>0.009399999999999999</v>
      </c>
    </row>
    <row r="83" spans="2:5" ht="12.75">
      <c r="B83" s="7" t="s">
        <v>11</v>
      </c>
      <c r="C83" s="9">
        <v>1.4</v>
      </c>
      <c r="D83" s="10">
        <f>(13*0.48%+18*0.52%)/31</f>
        <v>0.005032258064516128</v>
      </c>
      <c r="E83" s="76">
        <f t="shared" si="0"/>
        <v>0.009516129032258062</v>
      </c>
    </row>
    <row r="84" spans="2:5" ht="12.75">
      <c r="B84" s="7" t="s">
        <v>12</v>
      </c>
      <c r="C84" s="9">
        <v>1.4</v>
      </c>
      <c r="D84" s="10">
        <f>(3*0.52%+27*0.55%)/30</f>
        <v>0.005470000000000001</v>
      </c>
      <c r="E84" s="76">
        <f aca="true" t="shared" si="1" ref="E84:E147">(C84/100+D84)/2</f>
        <v>0.009735</v>
      </c>
    </row>
    <row r="85" spans="2:5" ht="12.75">
      <c r="B85" s="7" t="s">
        <v>13</v>
      </c>
      <c r="C85" s="9">
        <v>1.4</v>
      </c>
      <c r="D85" s="10">
        <f>(2*0.55%+29*0.59%)/31</f>
        <v>0.005874193548387097</v>
      </c>
      <c r="E85" s="76">
        <f t="shared" si="1"/>
        <v>0.009937096774193547</v>
      </c>
    </row>
    <row r="86" spans="2:5" ht="12.75">
      <c r="B86" s="7" t="s">
        <v>14</v>
      </c>
      <c r="C86" s="9">
        <v>1.16</v>
      </c>
      <c r="D86" s="10">
        <f>(24*0.59%+7*0.57%)/30</f>
        <v>0.00605</v>
      </c>
      <c r="E86" s="76">
        <f t="shared" si="1"/>
        <v>0.008825</v>
      </c>
    </row>
    <row r="87" spans="1:7" ht="12.75">
      <c r="A87" s="15"/>
      <c r="B87" s="15" t="s">
        <v>15</v>
      </c>
      <c r="C87" s="47">
        <v>1.16</v>
      </c>
      <c r="D87" s="48">
        <v>0.0057</v>
      </c>
      <c r="E87" s="77">
        <f t="shared" si="1"/>
        <v>0.00865</v>
      </c>
      <c r="F87" s="15"/>
      <c r="G87" s="15"/>
    </row>
    <row r="88" spans="1:5" ht="12.75">
      <c r="A88" s="7">
        <v>1997</v>
      </c>
      <c r="B88" s="7" t="s">
        <v>4</v>
      </c>
      <c r="C88" s="9">
        <v>1.16</v>
      </c>
      <c r="D88" s="10">
        <v>0.0057</v>
      </c>
      <c r="E88" s="76">
        <f t="shared" si="1"/>
        <v>0.00865</v>
      </c>
    </row>
    <row r="89" spans="2:5" ht="12.75">
      <c r="B89" s="7" t="s">
        <v>5</v>
      </c>
      <c r="C89" s="9">
        <v>1.16</v>
      </c>
      <c r="D89" s="10">
        <f>(3*0.57%+25*0.55%)/28</f>
        <v>0.005521428571428572</v>
      </c>
      <c r="E89" s="76">
        <f t="shared" si="1"/>
        <v>0.008560714285714286</v>
      </c>
    </row>
    <row r="90" spans="2:5" ht="12.75">
      <c r="B90" s="7" t="s">
        <v>6</v>
      </c>
      <c r="C90" s="9">
        <v>1.16</v>
      </c>
      <c r="D90" s="10">
        <f>(6*0.55%+25*0.5%)/31</f>
        <v>0.0050967741935483875</v>
      </c>
      <c r="E90" s="76">
        <f t="shared" si="1"/>
        <v>0.008348387096774193</v>
      </c>
    </row>
    <row r="91" spans="2:5" ht="12.75">
      <c r="B91" s="7" t="s">
        <v>7</v>
      </c>
      <c r="C91" s="9">
        <v>1.16</v>
      </c>
      <c r="D91" s="10">
        <v>0.005</v>
      </c>
      <c r="E91" s="76">
        <f t="shared" si="1"/>
        <v>0.0083</v>
      </c>
    </row>
    <row r="92" spans="2:5" ht="12.75">
      <c r="B92" s="7" t="s">
        <v>8</v>
      </c>
      <c r="C92" s="9">
        <v>1.16</v>
      </c>
      <c r="D92" s="10">
        <v>0.005</v>
      </c>
      <c r="E92" s="76">
        <f t="shared" si="1"/>
        <v>0.0083</v>
      </c>
    </row>
    <row r="93" spans="2:5" ht="12.75">
      <c r="B93" s="7" t="s">
        <v>9</v>
      </c>
      <c r="C93" s="9">
        <v>1.16</v>
      </c>
      <c r="D93" s="10">
        <v>0.005</v>
      </c>
      <c r="E93" s="76">
        <f t="shared" si="1"/>
        <v>0.0083</v>
      </c>
    </row>
    <row r="94" spans="2:5" ht="12.75">
      <c r="B94" s="7" t="s">
        <v>10</v>
      </c>
      <c r="C94" s="9">
        <v>1.16</v>
      </c>
      <c r="D94" s="10">
        <v>0.005</v>
      </c>
      <c r="E94" s="76">
        <f t="shared" si="1"/>
        <v>0.0083</v>
      </c>
    </row>
    <row r="95" spans="2:5" ht="12.75">
      <c r="B95" s="7" t="s">
        <v>11</v>
      </c>
      <c r="C95" s="9">
        <v>1.16</v>
      </c>
      <c r="D95" s="10">
        <v>0.005</v>
      </c>
      <c r="E95" s="76">
        <f t="shared" si="1"/>
        <v>0.0083</v>
      </c>
    </row>
    <row r="96" spans="2:5" ht="12.75">
      <c r="B96" s="7" t="s">
        <v>12</v>
      </c>
      <c r="C96" s="9">
        <v>1.16</v>
      </c>
      <c r="D96" s="10">
        <v>0.005</v>
      </c>
      <c r="E96" s="76">
        <f t="shared" si="1"/>
        <v>0.0083</v>
      </c>
    </row>
    <row r="97" spans="2:5" ht="12.75">
      <c r="B97" s="7" t="s">
        <v>13</v>
      </c>
      <c r="C97" s="9">
        <v>1.16</v>
      </c>
      <c r="D97" s="10">
        <v>0.005</v>
      </c>
      <c r="E97" s="76">
        <f t="shared" si="1"/>
        <v>0.0083</v>
      </c>
    </row>
    <row r="98" spans="2:5" ht="12.75">
      <c r="B98" s="7" t="s">
        <v>14</v>
      </c>
      <c r="C98" s="9">
        <v>1.16</v>
      </c>
      <c r="D98" s="10">
        <f>(14*0.5%+16*0.51%)/30</f>
        <v>0.005053333333333334</v>
      </c>
      <c r="E98" s="76">
        <f t="shared" si="1"/>
        <v>0.008326666666666666</v>
      </c>
    </row>
    <row r="99" spans="1:7" ht="12.75">
      <c r="A99" s="15"/>
      <c r="B99" s="15" t="s">
        <v>15</v>
      </c>
      <c r="C99" s="47">
        <v>1.16</v>
      </c>
      <c r="D99" s="48">
        <v>0.0051</v>
      </c>
      <c r="E99" s="77">
        <f t="shared" si="1"/>
        <v>0.00835</v>
      </c>
      <c r="F99" s="15"/>
      <c r="G99" s="15"/>
    </row>
    <row r="100" spans="1:5" ht="12.75">
      <c r="A100" s="7">
        <v>1998</v>
      </c>
      <c r="B100" s="7" t="s">
        <v>4</v>
      </c>
      <c r="C100" s="9">
        <v>1.16</v>
      </c>
      <c r="D100" s="10">
        <v>0.0051</v>
      </c>
      <c r="E100" s="76">
        <f t="shared" si="1"/>
        <v>0.00835</v>
      </c>
    </row>
    <row r="101" spans="2:5" ht="12.75">
      <c r="B101" s="7" t="s">
        <v>5</v>
      </c>
      <c r="C101" s="9">
        <v>1.16</v>
      </c>
      <c r="D101" s="10">
        <v>0.0051</v>
      </c>
      <c r="E101" s="76">
        <f t="shared" si="1"/>
        <v>0.00835</v>
      </c>
    </row>
    <row r="102" spans="2:5" ht="12.75">
      <c r="B102" s="7" t="s">
        <v>6</v>
      </c>
      <c r="C102" s="9">
        <v>1.16</v>
      </c>
      <c r="D102" s="10">
        <v>0.0051</v>
      </c>
      <c r="E102" s="76">
        <f t="shared" si="1"/>
        <v>0.00835</v>
      </c>
    </row>
    <row r="103" spans="2:5" ht="12.75">
      <c r="B103" s="7" t="s">
        <v>7</v>
      </c>
      <c r="C103" s="9">
        <v>1.16</v>
      </c>
      <c r="D103" s="10">
        <v>0.0051</v>
      </c>
      <c r="E103" s="76">
        <f t="shared" si="1"/>
        <v>0.00835</v>
      </c>
    </row>
    <row r="104" spans="2:5" ht="12.75">
      <c r="B104" s="7" t="s">
        <v>8</v>
      </c>
      <c r="C104" s="9">
        <v>1.16</v>
      </c>
      <c r="D104" s="10">
        <v>0.0051</v>
      </c>
      <c r="E104" s="76">
        <f t="shared" si="1"/>
        <v>0.00835</v>
      </c>
    </row>
    <row r="105" spans="2:5" ht="12.75">
      <c r="B105" s="7" t="s">
        <v>9</v>
      </c>
      <c r="C105" s="9">
        <v>1.16</v>
      </c>
      <c r="D105" s="10">
        <v>0.0051</v>
      </c>
      <c r="E105" s="76">
        <f t="shared" si="1"/>
        <v>0.00835</v>
      </c>
    </row>
    <row r="106" spans="2:5" ht="12.75">
      <c r="B106" s="7" t="s">
        <v>10</v>
      </c>
      <c r="C106" s="9">
        <v>1.16</v>
      </c>
      <c r="D106" s="10">
        <v>0.0051</v>
      </c>
      <c r="E106" s="76">
        <f t="shared" si="1"/>
        <v>0.00835</v>
      </c>
    </row>
    <row r="107" spans="2:5" ht="12.75">
      <c r="B107" s="7" t="s">
        <v>11</v>
      </c>
      <c r="C107" s="9">
        <v>1.16</v>
      </c>
      <c r="D107" s="10">
        <v>0.0051</v>
      </c>
      <c r="E107" s="76">
        <f t="shared" si="1"/>
        <v>0.00835</v>
      </c>
    </row>
    <row r="108" spans="2:5" ht="12.75">
      <c r="B108" s="7" t="s">
        <v>12</v>
      </c>
      <c r="C108" s="9">
        <v>1.23</v>
      </c>
      <c r="D108" s="10">
        <v>0.0051</v>
      </c>
      <c r="E108" s="76">
        <f t="shared" si="1"/>
        <v>0.0087</v>
      </c>
    </row>
    <row r="109" spans="2:5" ht="12.75">
      <c r="B109" s="7" t="s">
        <v>13</v>
      </c>
      <c r="C109" s="9">
        <v>1.33</v>
      </c>
      <c r="D109" s="10">
        <f>(6*0.51%+25*0.53%)/31</f>
        <v>0.005261290322580646</v>
      </c>
      <c r="E109" s="76">
        <f t="shared" si="1"/>
        <v>0.009280645161290324</v>
      </c>
    </row>
    <row r="110" spans="2:5" ht="12.75">
      <c r="B110" s="7" t="s">
        <v>14</v>
      </c>
      <c r="C110" s="9">
        <v>1.33</v>
      </c>
      <c r="D110" s="10">
        <v>0.0053</v>
      </c>
      <c r="E110" s="76">
        <f t="shared" si="1"/>
        <v>0.009300000000000001</v>
      </c>
    </row>
    <row r="111" spans="1:7" ht="12.75">
      <c r="A111" s="15"/>
      <c r="B111" s="15" t="s">
        <v>15</v>
      </c>
      <c r="C111" s="47">
        <v>1.33</v>
      </c>
      <c r="D111" s="48">
        <v>0.0053</v>
      </c>
      <c r="E111" s="77">
        <f t="shared" si="1"/>
        <v>0.009300000000000001</v>
      </c>
      <c r="F111" s="15"/>
      <c r="G111" s="15"/>
    </row>
    <row r="112" spans="1:5" ht="12.75">
      <c r="A112" s="7">
        <v>1999</v>
      </c>
      <c r="B112" s="7" t="s">
        <v>4</v>
      </c>
      <c r="C112" s="9">
        <v>1.36</v>
      </c>
      <c r="D112" s="10">
        <v>0.0053</v>
      </c>
      <c r="E112" s="76">
        <f t="shared" si="1"/>
        <v>0.00945</v>
      </c>
    </row>
    <row r="113" spans="2:5" ht="12.75">
      <c r="B113" s="7" t="s">
        <v>5</v>
      </c>
      <c r="C113" s="9">
        <v>1.41</v>
      </c>
      <c r="D113" s="10">
        <v>0.0053</v>
      </c>
      <c r="E113" s="76">
        <f t="shared" si="1"/>
        <v>0.0097</v>
      </c>
    </row>
    <row r="114" spans="2:5" ht="12.75">
      <c r="B114" s="7" t="s">
        <v>6</v>
      </c>
      <c r="C114" s="9">
        <v>1.41</v>
      </c>
      <c r="D114" s="10">
        <f>(23*0.53%+8*0.52%)/31</f>
        <v>0.005274193548387096</v>
      </c>
      <c r="E114" s="76">
        <f t="shared" si="1"/>
        <v>0.009687096774193549</v>
      </c>
    </row>
    <row r="115" spans="2:5" ht="12.75">
      <c r="B115" s="7" t="s">
        <v>7</v>
      </c>
      <c r="C115" s="9">
        <v>1.41</v>
      </c>
      <c r="D115" s="10">
        <f>(13*0.52%+6*0.5%+3*0.49%+3*0.48%+5*0.47%)/30</f>
        <v>0.005006666666666667</v>
      </c>
      <c r="E115" s="76">
        <f t="shared" si="1"/>
        <v>0.009553333333333334</v>
      </c>
    </row>
    <row r="116" spans="2:5" ht="12.75">
      <c r="B116" s="7" t="s">
        <v>8</v>
      </c>
      <c r="C116" s="9">
        <v>1.41</v>
      </c>
      <c r="D116" s="10">
        <v>0.0047</v>
      </c>
      <c r="E116" s="76">
        <f t="shared" si="1"/>
        <v>0.0094</v>
      </c>
    </row>
    <row r="117" spans="2:5" ht="12.75">
      <c r="B117" s="7" t="s">
        <v>9</v>
      </c>
      <c r="C117" s="9">
        <v>1.41</v>
      </c>
      <c r="D117" s="10">
        <v>0.0047</v>
      </c>
      <c r="E117" s="76">
        <f t="shared" si="1"/>
        <v>0.0094</v>
      </c>
    </row>
    <row r="118" spans="2:5" ht="12.75">
      <c r="B118" s="7" t="s">
        <v>10</v>
      </c>
      <c r="C118" s="9">
        <v>1.41</v>
      </c>
      <c r="D118" s="10">
        <v>0.0047</v>
      </c>
      <c r="E118" s="76">
        <f t="shared" si="1"/>
        <v>0.0094</v>
      </c>
    </row>
    <row r="119" spans="2:5" ht="12.75">
      <c r="B119" s="7" t="s">
        <v>11</v>
      </c>
      <c r="C119" s="9">
        <v>1.41</v>
      </c>
      <c r="D119" s="10">
        <v>0.0047</v>
      </c>
      <c r="E119" s="76">
        <f t="shared" si="1"/>
        <v>0.0094</v>
      </c>
    </row>
    <row r="120" spans="2:5" ht="12.75">
      <c r="B120" s="7" t="s">
        <v>12</v>
      </c>
      <c r="C120" s="9">
        <v>1.41</v>
      </c>
      <c r="D120" s="10">
        <v>0.0047</v>
      </c>
      <c r="E120" s="76">
        <f t="shared" si="1"/>
        <v>0.0094</v>
      </c>
    </row>
    <row r="121" spans="2:5" ht="12.75">
      <c r="B121" s="7" t="s">
        <v>13</v>
      </c>
      <c r="C121" s="9">
        <v>1.41</v>
      </c>
      <c r="D121" s="10">
        <v>0.0047</v>
      </c>
      <c r="E121" s="76">
        <f t="shared" si="1"/>
        <v>0.0094</v>
      </c>
    </row>
    <row r="122" spans="2:5" ht="12.75">
      <c r="B122" s="7" t="s">
        <v>14</v>
      </c>
      <c r="C122" s="9">
        <v>1.41</v>
      </c>
      <c r="D122" s="10">
        <v>0.0047</v>
      </c>
      <c r="E122" s="76">
        <f t="shared" si="1"/>
        <v>0.0094</v>
      </c>
    </row>
    <row r="123" spans="1:7" ht="12.75">
      <c r="A123" s="15"/>
      <c r="B123" s="15" t="s">
        <v>15</v>
      </c>
      <c r="C123" s="47">
        <v>1.41</v>
      </c>
      <c r="D123" s="48">
        <v>0.0047</v>
      </c>
      <c r="E123" s="77">
        <f t="shared" si="1"/>
        <v>0.0094</v>
      </c>
      <c r="F123" s="15"/>
      <c r="G123" s="15"/>
    </row>
    <row r="124" spans="1:5" ht="12.75">
      <c r="A124" s="7">
        <v>2000</v>
      </c>
      <c r="B124" s="7" t="s">
        <v>4</v>
      </c>
      <c r="C124" s="9">
        <v>1.41</v>
      </c>
      <c r="D124" s="10">
        <v>0.0047</v>
      </c>
      <c r="E124" s="76">
        <f t="shared" si="1"/>
        <v>0.0094</v>
      </c>
    </row>
    <row r="125" spans="2:5" ht="12.75">
      <c r="B125" s="7" t="s">
        <v>5</v>
      </c>
      <c r="C125" s="9">
        <v>1.41</v>
      </c>
      <c r="D125" s="10">
        <v>0.0047</v>
      </c>
      <c r="E125" s="76">
        <f t="shared" si="1"/>
        <v>0.0094</v>
      </c>
    </row>
    <row r="126" spans="2:5" ht="12.75">
      <c r="B126" s="7" t="s">
        <v>6</v>
      </c>
      <c r="C126" s="9">
        <v>1.41</v>
      </c>
      <c r="D126" s="10">
        <v>0.0047</v>
      </c>
      <c r="E126" s="76">
        <f t="shared" si="1"/>
        <v>0.0094</v>
      </c>
    </row>
    <row r="127" spans="2:5" ht="12.75">
      <c r="B127" s="7" t="s">
        <v>7</v>
      </c>
      <c r="C127" s="9">
        <v>1.41</v>
      </c>
      <c r="D127" s="10">
        <v>0.0047</v>
      </c>
      <c r="E127" s="76">
        <f t="shared" si="1"/>
        <v>0.0094</v>
      </c>
    </row>
    <row r="128" spans="2:5" ht="12.75">
      <c r="B128" s="7" t="s">
        <v>8</v>
      </c>
      <c r="C128" s="9">
        <v>1.41</v>
      </c>
      <c r="D128" s="10">
        <v>0.0047</v>
      </c>
      <c r="E128" s="76">
        <f t="shared" si="1"/>
        <v>0.0094</v>
      </c>
    </row>
    <row r="129" spans="2:5" ht="12.75">
      <c r="B129" s="7" t="s">
        <v>9</v>
      </c>
      <c r="C129" s="9">
        <v>1.41</v>
      </c>
      <c r="D129" s="10">
        <v>0.0047</v>
      </c>
      <c r="E129" s="76">
        <f t="shared" si="1"/>
        <v>0.0094</v>
      </c>
    </row>
    <row r="130" spans="2:5" ht="12.75">
      <c r="B130" s="7" t="s">
        <v>10</v>
      </c>
      <c r="C130" s="9">
        <v>1.41</v>
      </c>
      <c r="D130" s="10">
        <v>0.0047</v>
      </c>
      <c r="E130" s="76">
        <f t="shared" si="1"/>
        <v>0.0094</v>
      </c>
    </row>
    <row r="131" spans="2:5" ht="12.75">
      <c r="B131" s="7" t="s">
        <v>11</v>
      </c>
      <c r="C131" s="9">
        <v>1.41</v>
      </c>
      <c r="D131" s="10">
        <v>0.0047</v>
      </c>
      <c r="E131" s="76">
        <f t="shared" si="1"/>
        <v>0.0094</v>
      </c>
    </row>
    <row r="132" spans="2:5" ht="12.75">
      <c r="B132" s="7" t="s">
        <v>12</v>
      </c>
      <c r="C132" s="9">
        <v>1.41</v>
      </c>
      <c r="D132" s="10">
        <v>0.0047</v>
      </c>
      <c r="E132" s="76">
        <f t="shared" si="1"/>
        <v>0.0094</v>
      </c>
    </row>
    <row r="133" spans="2:5" ht="12.75">
      <c r="B133" s="7" t="s">
        <v>13</v>
      </c>
      <c r="C133" s="9">
        <v>1.41</v>
      </c>
      <c r="D133" s="10">
        <v>0.0047</v>
      </c>
      <c r="E133" s="76">
        <f t="shared" si="1"/>
        <v>0.0094</v>
      </c>
    </row>
    <row r="134" spans="2:5" ht="12.75">
      <c r="B134" s="7" t="s">
        <v>14</v>
      </c>
      <c r="C134" s="9">
        <v>1.41</v>
      </c>
      <c r="D134" s="10">
        <v>0.0047</v>
      </c>
      <c r="E134" s="76">
        <f t="shared" si="1"/>
        <v>0.0094</v>
      </c>
    </row>
    <row r="135" spans="1:7" ht="12.75">
      <c r="A135" s="15"/>
      <c r="B135" s="15" t="s">
        <v>15</v>
      </c>
      <c r="C135" s="47">
        <v>1.41</v>
      </c>
      <c r="D135" s="52">
        <f>(14*0.47%+17*0.65%)/31</f>
        <v>0.005687096774193549</v>
      </c>
      <c r="E135" s="77">
        <f t="shared" si="1"/>
        <v>0.009893548387096773</v>
      </c>
      <c r="F135" s="15"/>
      <c r="G135" s="15"/>
    </row>
    <row r="136" spans="1:5" ht="12.75">
      <c r="A136" s="7">
        <v>2001</v>
      </c>
      <c r="B136" s="7" t="s">
        <v>4</v>
      </c>
      <c r="C136" s="9">
        <v>1.41</v>
      </c>
      <c r="D136" s="10">
        <f>(21*0.65%+10*0.54%)/31</f>
        <v>0.006145161290322581</v>
      </c>
      <c r="E136" s="76">
        <f t="shared" si="1"/>
        <v>0.01012258064516129</v>
      </c>
    </row>
    <row r="137" spans="2:5" ht="12.75">
      <c r="B137" s="7" t="s">
        <v>5</v>
      </c>
      <c r="C137" s="9">
        <v>1.35</v>
      </c>
      <c r="D137" s="10">
        <f>(0.54%+13*0.52%+14*0.6%)/28</f>
        <v>0.005607142857142857</v>
      </c>
      <c r="E137" s="76">
        <f t="shared" si="1"/>
        <v>0.009553571428571429</v>
      </c>
    </row>
    <row r="138" spans="2:5" ht="12.75">
      <c r="B138" s="7" t="s">
        <v>6</v>
      </c>
      <c r="C138" s="9">
        <v>1.29</v>
      </c>
      <c r="D138" s="10">
        <f>(28*0.6%+3*0.64%)/31</f>
        <v>0.006038709677419355</v>
      </c>
      <c r="E138" s="76">
        <f t="shared" si="1"/>
        <v>0.009469354838709677</v>
      </c>
    </row>
    <row r="139" spans="2:5" ht="12.75">
      <c r="B139" s="7" t="s">
        <v>7</v>
      </c>
      <c r="C139" s="9">
        <v>1.29</v>
      </c>
      <c r="D139" s="10">
        <f>(5*0.64%+25*0.64%)/30</f>
        <v>0.0064</v>
      </c>
      <c r="E139" s="76">
        <f t="shared" si="1"/>
        <v>0.00965</v>
      </c>
    </row>
    <row r="140" spans="2:5" ht="12.75">
      <c r="B140" s="7" t="s">
        <v>8</v>
      </c>
      <c r="C140" s="9">
        <v>1.29</v>
      </c>
      <c r="D140" s="10">
        <v>0.0064</v>
      </c>
      <c r="E140" s="76">
        <f t="shared" si="1"/>
        <v>0.00965</v>
      </c>
    </row>
    <row r="141" spans="2:5" ht="12.75">
      <c r="B141" s="7" t="s">
        <v>9</v>
      </c>
      <c r="C141" s="9">
        <v>1.29</v>
      </c>
      <c r="D141" s="10">
        <f>(5*0.64%+25*0.64%)/30</f>
        <v>0.0064</v>
      </c>
      <c r="E141" s="76">
        <f t="shared" si="1"/>
        <v>0.00965</v>
      </c>
    </row>
    <row r="142" spans="2:5" ht="12.75">
      <c r="B142" s="7" t="s">
        <v>10</v>
      </c>
      <c r="C142" s="9">
        <v>1.3</v>
      </c>
      <c r="D142" s="26">
        <f>(30*0.64%+0.68%)/31</f>
        <v>0.006412903225806452</v>
      </c>
      <c r="E142" s="76">
        <f t="shared" si="1"/>
        <v>0.009706451612903226</v>
      </c>
    </row>
    <row r="143" spans="2:5" ht="12.75">
      <c r="B143" s="7" t="s">
        <v>11</v>
      </c>
      <c r="C143" s="9">
        <v>1.46</v>
      </c>
      <c r="D143" s="10">
        <f>(14*0.68%+17*0.77%)/31</f>
        <v>0.007293548387096775</v>
      </c>
      <c r="E143" s="76">
        <f t="shared" si="1"/>
        <v>0.010946774193548389</v>
      </c>
    </row>
    <row r="144" spans="2:5" ht="12.75">
      <c r="B144" s="7" t="s">
        <v>12</v>
      </c>
      <c r="C144" s="9">
        <v>1.46</v>
      </c>
      <c r="D144" s="10">
        <v>0.0077</v>
      </c>
      <c r="E144" s="76">
        <f t="shared" si="1"/>
        <v>0.01115</v>
      </c>
    </row>
    <row r="145" spans="2:5" ht="12.75">
      <c r="B145" s="7" t="s">
        <v>13</v>
      </c>
      <c r="C145" s="9">
        <v>1.46</v>
      </c>
      <c r="D145" s="26">
        <f>(30*0.62%+0.89%)/31</f>
        <v>0.006287096774193548</v>
      </c>
      <c r="E145" s="76">
        <f t="shared" si="1"/>
        <v>0.010443548387096773</v>
      </c>
    </row>
    <row r="146" spans="2:5" ht="12.75">
      <c r="B146" s="7" t="s">
        <v>14</v>
      </c>
      <c r="C146" s="9">
        <v>1.46</v>
      </c>
      <c r="D146" s="10">
        <f>(25*0.89%+5*0.66%)/30</f>
        <v>0.008516666666666667</v>
      </c>
      <c r="E146" s="76">
        <f t="shared" si="1"/>
        <v>0.011558333333333334</v>
      </c>
    </row>
    <row r="147" spans="1:7" ht="12.75">
      <c r="A147" s="15"/>
      <c r="B147" s="15" t="s">
        <v>15</v>
      </c>
      <c r="C147" s="47">
        <v>1.46</v>
      </c>
      <c r="D147" s="48">
        <f>(17*0.6%+14*0.6%)/31</f>
        <v>0.006</v>
      </c>
      <c r="E147" s="77">
        <f t="shared" si="1"/>
        <v>0.0103</v>
      </c>
      <c r="F147" s="15"/>
      <c r="G147" s="15"/>
    </row>
    <row r="148" spans="1:5" ht="12.75">
      <c r="A148" s="7">
        <v>2002</v>
      </c>
      <c r="B148" s="7" t="s">
        <v>4</v>
      </c>
      <c r="C148" s="9">
        <v>1.46</v>
      </c>
      <c r="D148" s="10">
        <f>(18*0.57%+13*0.82%)/31</f>
        <v>0.006748387096774193</v>
      </c>
      <c r="E148" s="76">
        <f aca="true" t="shared" si="2" ref="E148:E211">(C148/100+D148)/2</f>
        <v>0.010674193548387096</v>
      </c>
    </row>
    <row r="149" spans="2:5" ht="12.75">
      <c r="B149" s="7" t="s">
        <v>5</v>
      </c>
      <c r="C149" s="9">
        <v>1.46</v>
      </c>
      <c r="D149" s="10">
        <v>0.0082</v>
      </c>
      <c r="E149" s="76">
        <f t="shared" si="2"/>
        <v>0.0114</v>
      </c>
    </row>
    <row r="150" spans="2:5" ht="12.75">
      <c r="B150" s="7" t="s">
        <v>6</v>
      </c>
      <c r="C150" s="9">
        <v>3.66</v>
      </c>
      <c r="D150" s="10">
        <v>0.0082</v>
      </c>
      <c r="E150" s="76">
        <f t="shared" si="2"/>
        <v>0.0224</v>
      </c>
    </row>
    <row r="151" spans="2:5" ht="12.75">
      <c r="B151" s="7" t="s">
        <v>7</v>
      </c>
      <c r="C151" s="9">
        <v>4.5</v>
      </c>
      <c r="D151" s="10">
        <f>(0.82%+14*1.64%+15*2.46%)/30</f>
        <v>0.020226666666666667</v>
      </c>
      <c r="E151" s="76">
        <f t="shared" si="2"/>
        <v>0.032613333333333334</v>
      </c>
    </row>
    <row r="152" spans="2:5" ht="12.75">
      <c r="B152" s="7" t="s">
        <v>8</v>
      </c>
      <c r="C152" s="9">
        <v>4.5</v>
      </c>
      <c r="D152" s="10">
        <v>0.0246</v>
      </c>
      <c r="E152" s="76">
        <f t="shared" si="2"/>
        <v>0.0348</v>
      </c>
    </row>
    <row r="153" spans="2:5" ht="12.75">
      <c r="B153" s="7" t="s">
        <v>9</v>
      </c>
      <c r="C153" s="9">
        <v>4.5</v>
      </c>
      <c r="D153" s="10">
        <v>0.0246</v>
      </c>
      <c r="E153" s="76">
        <f t="shared" si="2"/>
        <v>0.0348</v>
      </c>
    </row>
    <row r="154" spans="2:5" ht="12.75">
      <c r="B154" s="7" t="s">
        <v>10</v>
      </c>
      <c r="C154" s="9">
        <v>4.71</v>
      </c>
      <c r="D154" s="10">
        <v>0.0246</v>
      </c>
      <c r="E154" s="76">
        <f t="shared" si="2"/>
        <v>0.03585</v>
      </c>
    </row>
    <row r="155" spans="2:5" ht="12.75">
      <c r="B155" s="7" t="s">
        <v>11</v>
      </c>
      <c r="C155" s="9">
        <v>5</v>
      </c>
      <c r="D155" s="10">
        <v>0.0246</v>
      </c>
      <c r="E155" s="76">
        <f t="shared" si="2"/>
        <v>0.0373</v>
      </c>
    </row>
    <row r="156" spans="2:5" ht="12.75">
      <c r="B156" s="7" t="s">
        <v>12</v>
      </c>
      <c r="C156" s="9">
        <v>5</v>
      </c>
      <c r="D156" s="10">
        <f>(17*2.46%+7*4.11%+6*3.28%)/30</f>
        <v>0.03009</v>
      </c>
      <c r="E156" s="76">
        <f t="shared" si="2"/>
        <v>0.040045</v>
      </c>
    </row>
    <row r="157" spans="2:5" ht="12.75">
      <c r="B157" s="7" t="s">
        <v>13</v>
      </c>
      <c r="C157" s="9">
        <v>4.98</v>
      </c>
      <c r="D157" s="10">
        <f>(14*3.28%+7*3.61%+10*2.46%)/31</f>
        <v>0.0309</v>
      </c>
      <c r="E157" s="76">
        <f t="shared" si="2"/>
        <v>0.040350000000000004</v>
      </c>
    </row>
    <row r="158" spans="2:5" ht="12.75">
      <c r="B158" s="7" t="s">
        <v>14</v>
      </c>
      <c r="C158" s="9">
        <v>4.17</v>
      </c>
      <c r="D158" s="10">
        <f>(10*2.05%+10*1.89%+10*1.64%)/30</f>
        <v>0.0186</v>
      </c>
      <c r="E158" s="76">
        <f t="shared" si="2"/>
        <v>0.03015</v>
      </c>
    </row>
    <row r="159" spans="1:7" ht="12.75">
      <c r="A159" s="15"/>
      <c r="B159" s="15" t="s">
        <v>15</v>
      </c>
      <c r="C159" s="47">
        <v>4</v>
      </c>
      <c r="D159" s="48">
        <v>0.0164</v>
      </c>
      <c r="E159" s="77">
        <f t="shared" si="2"/>
        <v>0.028200000000000003</v>
      </c>
      <c r="F159" s="15"/>
      <c r="G159" s="15"/>
    </row>
    <row r="160" spans="1:5" ht="12.75">
      <c r="A160" s="7">
        <v>2003</v>
      </c>
      <c r="B160" s="7" t="s">
        <v>4</v>
      </c>
      <c r="C160" s="9">
        <v>4</v>
      </c>
      <c r="D160" s="10">
        <f>(12*1.64%+19*1.39%)/31</f>
        <v>0.01486774193548387</v>
      </c>
      <c r="E160" s="76">
        <f t="shared" si="2"/>
        <v>0.027433870967741934</v>
      </c>
    </row>
    <row r="161" spans="2:5" ht="12.75">
      <c r="B161" s="7" t="s">
        <v>5</v>
      </c>
      <c r="C161" s="9">
        <v>4</v>
      </c>
      <c r="D161" s="10">
        <v>0.0139</v>
      </c>
      <c r="E161" s="76">
        <f t="shared" si="2"/>
        <v>0.02695</v>
      </c>
    </row>
    <row r="162" spans="2:5" ht="12.75">
      <c r="B162" s="7" t="s">
        <v>6</v>
      </c>
      <c r="C162" s="9">
        <v>3.91</v>
      </c>
      <c r="D162" s="10">
        <f>(2*1.39%+29*1.64%)/31</f>
        <v>0.016238709677419354</v>
      </c>
      <c r="E162" s="76">
        <f t="shared" si="2"/>
        <v>0.02766935483870968</v>
      </c>
    </row>
    <row r="163" spans="2:5" ht="12.75">
      <c r="B163" s="7" t="s">
        <v>7</v>
      </c>
      <c r="C163" s="9">
        <v>3.525</v>
      </c>
      <c r="D163" s="10">
        <f>(28*1.64%+2*1.39%)/30</f>
        <v>0.016233333333333332</v>
      </c>
      <c r="E163" s="76">
        <f t="shared" si="2"/>
        <v>0.025741666666666663</v>
      </c>
    </row>
    <row r="164" spans="2:5" ht="12.75">
      <c r="B164" s="7" t="s">
        <v>8</v>
      </c>
      <c r="C164" s="9">
        <v>3.02</v>
      </c>
      <c r="D164" s="10">
        <f>(11*1.39%+10*1.15%+5*1.06%+5*0.84%)/31</f>
        <v>0.011706451612903224</v>
      </c>
      <c r="E164" s="76">
        <f t="shared" si="2"/>
        <v>0.020953225806451613</v>
      </c>
    </row>
    <row r="165" spans="2:5" ht="12.75">
      <c r="B165" s="7" t="s">
        <v>9</v>
      </c>
      <c r="C165" s="9">
        <v>2.33</v>
      </c>
      <c r="D165" s="10">
        <v>0.0084</v>
      </c>
      <c r="E165" s="76">
        <f t="shared" si="2"/>
        <v>0.01585</v>
      </c>
    </row>
    <row r="166" spans="2:5" ht="12.75">
      <c r="B166" s="7" t="s">
        <v>10</v>
      </c>
      <c r="C166" s="9">
        <v>1.88</v>
      </c>
      <c r="D166" s="10">
        <f>(22*0.84%+6*0.46%+3*0.42%)/31</f>
        <v>0.007258064516129032</v>
      </c>
      <c r="E166" s="76">
        <f t="shared" si="2"/>
        <v>0.013029032258064514</v>
      </c>
    </row>
    <row r="167" spans="2:5" ht="12.75">
      <c r="B167" s="7" t="s">
        <v>11</v>
      </c>
      <c r="C167" s="9">
        <v>1.706</v>
      </c>
      <c r="D167" s="10">
        <v>0.0042</v>
      </c>
      <c r="E167" s="76">
        <f t="shared" si="2"/>
        <v>0.010629999999999999</v>
      </c>
    </row>
    <row r="168" spans="2:5" ht="12.75">
      <c r="B168" s="7" t="s">
        <v>12</v>
      </c>
      <c r="C168" s="9">
        <v>1.68</v>
      </c>
      <c r="D168" s="10">
        <v>0.00403</v>
      </c>
      <c r="E168" s="76">
        <f t="shared" si="2"/>
        <v>0.010414999999999999</v>
      </c>
    </row>
    <row r="169" spans="2:5" ht="12.75">
      <c r="B169" s="7" t="s">
        <v>13</v>
      </c>
      <c r="C169" s="9">
        <v>1.55</v>
      </c>
      <c r="D169" s="10">
        <v>0.004</v>
      </c>
      <c r="E169" s="76">
        <f t="shared" si="2"/>
        <v>0.00975</v>
      </c>
    </row>
    <row r="170" spans="2:5" ht="12.75">
      <c r="B170" s="7" t="s">
        <v>14</v>
      </c>
      <c r="C170" s="9">
        <v>1.55</v>
      </c>
      <c r="D170" s="10">
        <v>0.00382</v>
      </c>
      <c r="E170" s="76">
        <f t="shared" si="2"/>
        <v>0.00966</v>
      </c>
    </row>
    <row r="171" spans="1:7" ht="12.75">
      <c r="A171" s="15"/>
      <c r="B171" s="15" t="s">
        <v>15</v>
      </c>
      <c r="C171" s="47">
        <v>1.55</v>
      </c>
      <c r="D171" s="48">
        <v>0.0037</v>
      </c>
      <c r="E171" s="77">
        <f t="shared" si="2"/>
        <v>0.009600000000000001</v>
      </c>
      <c r="F171" s="15"/>
      <c r="G171" s="15"/>
    </row>
    <row r="172" spans="1:5" ht="12.75">
      <c r="A172" s="7">
        <v>2004</v>
      </c>
      <c r="B172" s="7" t="s">
        <v>4</v>
      </c>
      <c r="C172" s="9">
        <v>1.55</v>
      </c>
      <c r="D172" s="10">
        <f>(2*0.36%+21*0.29%+8*0.288%)/31</f>
        <v>0.00294</v>
      </c>
      <c r="E172" s="76">
        <f t="shared" si="2"/>
        <v>0.009219999999999999</v>
      </c>
    </row>
    <row r="173" spans="2:5" ht="12.75">
      <c r="B173" s="7" t="s">
        <v>5</v>
      </c>
      <c r="C173" s="9">
        <v>1.55</v>
      </c>
      <c r="D173" s="10">
        <f>(18*0.288%+10*0.25%)/28</f>
        <v>0.002744285714285714</v>
      </c>
      <c r="E173" s="76">
        <f t="shared" si="2"/>
        <v>0.009122142857142856</v>
      </c>
    </row>
    <row r="174" spans="2:5" ht="12.75">
      <c r="B174" s="7" t="s">
        <v>6</v>
      </c>
      <c r="C174" s="9">
        <v>1.55</v>
      </c>
      <c r="D174" s="10">
        <f>(30*0.25%+0.23%)/31</f>
        <v>0.002493548387096774</v>
      </c>
      <c r="E174" s="76">
        <f t="shared" si="2"/>
        <v>0.008996774193548386</v>
      </c>
    </row>
    <row r="175" spans="2:5" ht="12.75">
      <c r="B175" s="7" t="s">
        <v>7</v>
      </c>
      <c r="C175" s="9">
        <v>1.55</v>
      </c>
      <c r="D175" s="10">
        <v>0.0023</v>
      </c>
      <c r="E175" s="76">
        <f t="shared" si="2"/>
        <v>0.0089</v>
      </c>
    </row>
    <row r="176" spans="2:5" ht="12.75">
      <c r="B176" s="7" t="s">
        <v>8</v>
      </c>
      <c r="C176" s="9">
        <v>1.55</v>
      </c>
      <c r="D176" s="10">
        <v>0.0021</v>
      </c>
      <c r="E176" s="76">
        <f t="shared" si="2"/>
        <v>0.0088</v>
      </c>
    </row>
    <row r="177" spans="2:5" ht="12.75">
      <c r="B177" s="7" t="s">
        <v>9</v>
      </c>
      <c r="C177" s="9">
        <v>1.55</v>
      </c>
      <c r="D177" s="10">
        <v>0.0021</v>
      </c>
      <c r="E177" s="76">
        <f t="shared" si="2"/>
        <v>0.0088</v>
      </c>
    </row>
    <row r="178" spans="2:5" ht="12.75">
      <c r="B178" s="7" t="s">
        <v>10</v>
      </c>
      <c r="C178" s="9">
        <v>1.55</v>
      </c>
      <c r="D178" s="10">
        <v>0.0021</v>
      </c>
      <c r="E178" s="76">
        <f t="shared" si="2"/>
        <v>0.0088</v>
      </c>
    </row>
    <row r="179" spans="2:5" ht="12.75">
      <c r="B179" s="7" t="s">
        <v>11</v>
      </c>
      <c r="C179" s="9">
        <v>1.55</v>
      </c>
      <c r="D179" s="10">
        <v>0.0021</v>
      </c>
      <c r="E179" s="76">
        <f t="shared" si="2"/>
        <v>0.0088</v>
      </c>
    </row>
    <row r="180" spans="2:5" ht="12.75">
      <c r="B180" s="7" t="s">
        <v>12</v>
      </c>
      <c r="C180" s="9">
        <v>1.55</v>
      </c>
      <c r="D180" s="10">
        <v>0.0021</v>
      </c>
      <c r="E180" s="76">
        <f t="shared" si="2"/>
        <v>0.0088</v>
      </c>
    </row>
    <row r="181" spans="2:5" ht="12.75">
      <c r="B181" s="7" t="s">
        <v>13</v>
      </c>
      <c r="C181" s="9">
        <v>1.55</v>
      </c>
      <c r="D181" s="10">
        <v>0.0021</v>
      </c>
      <c r="E181" s="76">
        <f t="shared" si="2"/>
        <v>0.0088</v>
      </c>
    </row>
    <row r="182" spans="2:5" ht="12.75">
      <c r="B182" s="7" t="s">
        <v>14</v>
      </c>
      <c r="C182" s="9">
        <v>1.55</v>
      </c>
      <c r="D182" s="10">
        <v>0.0021</v>
      </c>
      <c r="E182" s="76">
        <f t="shared" si="2"/>
        <v>0.0088</v>
      </c>
    </row>
    <row r="183" spans="1:7" ht="12.75">
      <c r="A183" s="15"/>
      <c r="B183" s="15" t="s">
        <v>15</v>
      </c>
      <c r="C183" s="47">
        <v>1.55</v>
      </c>
      <c r="D183" s="48">
        <v>0.0021</v>
      </c>
      <c r="E183" s="77">
        <f t="shared" si="2"/>
        <v>0.0088</v>
      </c>
      <c r="F183" s="15"/>
      <c r="G183" s="15"/>
    </row>
    <row r="184" spans="1:5" ht="12.75">
      <c r="A184" s="7">
        <v>2005</v>
      </c>
      <c r="B184" s="7" t="s">
        <v>4</v>
      </c>
      <c r="C184" s="9">
        <v>1.55</v>
      </c>
      <c r="D184" s="10">
        <v>0.0021</v>
      </c>
      <c r="E184" s="76">
        <f t="shared" si="2"/>
        <v>0.0088</v>
      </c>
    </row>
    <row r="185" spans="2:5" ht="12.75">
      <c r="B185" s="7" t="s">
        <v>5</v>
      </c>
      <c r="C185" s="9">
        <v>1.55</v>
      </c>
      <c r="D185" s="10">
        <v>0.0021</v>
      </c>
      <c r="E185" s="76">
        <f t="shared" si="2"/>
        <v>0.0088</v>
      </c>
    </row>
    <row r="186" spans="2:5" ht="12.75">
      <c r="B186" s="7" t="s">
        <v>6</v>
      </c>
      <c r="C186" s="9">
        <v>1.55</v>
      </c>
      <c r="D186" s="10">
        <v>0.0021</v>
      </c>
      <c r="E186" s="76">
        <f t="shared" si="2"/>
        <v>0.0088</v>
      </c>
    </row>
    <row r="187" spans="2:5" ht="12.75">
      <c r="B187" s="7" t="s">
        <v>7</v>
      </c>
      <c r="C187" s="9">
        <v>1.55</v>
      </c>
      <c r="D187" s="10">
        <v>0.0021</v>
      </c>
      <c r="E187" s="76">
        <f t="shared" si="2"/>
        <v>0.0088</v>
      </c>
    </row>
    <row r="188" spans="2:5" ht="12.75">
      <c r="B188" s="7" t="s">
        <v>8</v>
      </c>
      <c r="C188" s="9">
        <v>1.55</v>
      </c>
      <c r="D188" s="10">
        <v>0.0021</v>
      </c>
      <c r="E188" s="76">
        <f t="shared" si="2"/>
        <v>0.0088</v>
      </c>
    </row>
    <row r="189" spans="2:5" ht="12.75">
      <c r="B189" s="7" t="s">
        <v>9</v>
      </c>
      <c r="C189" s="9">
        <v>1.55</v>
      </c>
      <c r="D189" s="10">
        <v>0.0021</v>
      </c>
      <c r="E189" s="76">
        <f t="shared" si="2"/>
        <v>0.0088</v>
      </c>
    </row>
    <row r="190" spans="2:5" ht="12.75">
      <c r="B190" s="7" t="s">
        <v>10</v>
      </c>
      <c r="C190" s="9">
        <v>1.55</v>
      </c>
      <c r="D190" s="10">
        <v>0.0021</v>
      </c>
      <c r="E190" s="76">
        <f t="shared" si="2"/>
        <v>0.0088</v>
      </c>
    </row>
    <row r="191" spans="2:5" ht="12.75">
      <c r="B191" s="7" t="s">
        <v>11</v>
      </c>
      <c r="C191" s="9">
        <v>1.55</v>
      </c>
      <c r="D191" s="10">
        <v>0.0021</v>
      </c>
      <c r="E191" s="76">
        <f t="shared" si="2"/>
        <v>0.0088</v>
      </c>
    </row>
    <row r="192" spans="2:5" ht="12.75">
      <c r="B192" s="7" t="s">
        <v>12</v>
      </c>
      <c r="C192" s="9">
        <v>1.55</v>
      </c>
      <c r="D192" s="10">
        <v>0.0021</v>
      </c>
      <c r="E192" s="76">
        <f t="shared" si="2"/>
        <v>0.0088</v>
      </c>
    </row>
    <row r="193" spans="2:5" ht="12.75">
      <c r="B193" s="7" t="s">
        <v>13</v>
      </c>
      <c r="C193" s="9">
        <v>1.55</v>
      </c>
      <c r="D193" s="10">
        <v>0.0021</v>
      </c>
      <c r="E193" s="76">
        <f t="shared" si="2"/>
        <v>0.0088</v>
      </c>
    </row>
    <row r="194" spans="2:5" ht="12.75">
      <c r="B194" s="7" t="s">
        <v>14</v>
      </c>
      <c r="C194" s="9">
        <v>1.55</v>
      </c>
      <c r="D194" s="10">
        <v>0.0021</v>
      </c>
      <c r="E194" s="76">
        <f t="shared" si="2"/>
        <v>0.0088</v>
      </c>
    </row>
    <row r="195" spans="1:7" ht="12.75">
      <c r="A195" s="15"/>
      <c r="B195" s="15" t="s">
        <v>15</v>
      </c>
      <c r="C195" s="47">
        <v>1.55</v>
      </c>
      <c r="D195" s="48">
        <v>0.0021</v>
      </c>
      <c r="E195" s="77">
        <f t="shared" si="2"/>
        <v>0.0088</v>
      </c>
      <c r="F195" s="15"/>
      <c r="G195" s="15"/>
    </row>
    <row r="196" spans="1:5" ht="12.75">
      <c r="A196" s="7">
        <v>2006</v>
      </c>
      <c r="B196" s="7" t="s">
        <v>4</v>
      </c>
      <c r="C196" s="9">
        <v>1.55</v>
      </c>
      <c r="D196" s="10">
        <v>0.0021</v>
      </c>
      <c r="E196" s="76">
        <f t="shared" si="2"/>
        <v>0.0088</v>
      </c>
    </row>
    <row r="197" spans="2:5" ht="12.75">
      <c r="B197" s="7" t="s">
        <v>5</v>
      </c>
      <c r="C197" s="9">
        <v>1.55</v>
      </c>
      <c r="D197" s="10">
        <v>0.00288</v>
      </c>
      <c r="E197" s="76">
        <f t="shared" si="2"/>
        <v>0.00919</v>
      </c>
    </row>
    <row r="198" spans="2:5" ht="12.75">
      <c r="B198" s="7" t="s">
        <v>6</v>
      </c>
      <c r="C198" s="9">
        <v>1.55</v>
      </c>
      <c r="D198" s="10">
        <v>0.00288</v>
      </c>
      <c r="E198" s="76">
        <f t="shared" si="2"/>
        <v>0.00919</v>
      </c>
    </row>
    <row r="199" spans="2:5" ht="12.75">
      <c r="B199" s="7" t="s">
        <v>7</v>
      </c>
      <c r="C199" s="9">
        <v>1.55</v>
      </c>
      <c r="D199" s="10">
        <f>(3*0.288%+27*0.328%)/30</f>
        <v>0.00324</v>
      </c>
      <c r="E199" s="76">
        <f t="shared" si="2"/>
        <v>0.00937</v>
      </c>
    </row>
    <row r="200" spans="2:5" ht="12.75">
      <c r="B200" s="7" t="s">
        <v>8</v>
      </c>
      <c r="C200" s="9">
        <v>1.55</v>
      </c>
      <c r="D200" s="10">
        <v>0.00328</v>
      </c>
      <c r="E200" s="76">
        <f t="shared" si="2"/>
        <v>0.009389999999999999</v>
      </c>
    </row>
    <row r="201" spans="2:5" ht="12.75">
      <c r="B201" s="7" t="s">
        <v>9</v>
      </c>
      <c r="C201" s="9">
        <v>1.55</v>
      </c>
      <c r="D201" s="10">
        <v>0.00328</v>
      </c>
      <c r="E201" s="76">
        <f t="shared" si="2"/>
        <v>0.009389999999999999</v>
      </c>
    </row>
    <row r="202" spans="2:5" ht="12.75">
      <c r="B202" s="7" t="s">
        <v>10</v>
      </c>
      <c r="C202" s="9">
        <v>1.55</v>
      </c>
      <c r="D202" s="10">
        <v>0.00328</v>
      </c>
      <c r="E202" s="76">
        <f t="shared" si="2"/>
        <v>0.009389999999999999</v>
      </c>
    </row>
    <row r="203" spans="2:5" ht="12.75">
      <c r="B203" s="7" t="s">
        <v>11</v>
      </c>
      <c r="C203" s="9">
        <v>1.55</v>
      </c>
      <c r="D203" s="10">
        <v>0.00328</v>
      </c>
      <c r="E203" s="76">
        <f t="shared" si="2"/>
        <v>0.009389999999999999</v>
      </c>
    </row>
    <row r="204" spans="2:5" ht="12.75">
      <c r="B204" s="7" t="s">
        <v>12</v>
      </c>
      <c r="C204" s="9">
        <v>1.55</v>
      </c>
      <c r="D204" s="10">
        <v>0.00328</v>
      </c>
      <c r="E204" s="76">
        <f t="shared" si="2"/>
        <v>0.009389999999999999</v>
      </c>
    </row>
    <row r="205" spans="2:5" ht="12.75">
      <c r="B205" s="7" t="s">
        <v>13</v>
      </c>
      <c r="C205" s="9">
        <v>1.55</v>
      </c>
      <c r="D205" s="10">
        <v>0.00328</v>
      </c>
      <c r="E205" s="76">
        <f t="shared" si="2"/>
        <v>0.009389999999999999</v>
      </c>
    </row>
    <row r="206" spans="2:5" ht="12.75">
      <c r="B206" s="7" t="s">
        <v>14</v>
      </c>
      <c r="C206" s="9">
        <v>1.55</v>
      </c>
      <c r="D206" s="10">
        <v>0.00328</v>
      </c>
      <c r="E206" s="76">
        <f t="shared" si="2"/>
        <v>0.009389999999999999</v>
      </c>
    </row>
    <row r="207" spans="1:7" ht="12.75">
      <c r="A207" s="15"/>
      <c r="B207" s="15" t="s">
        <v>15</v>
      </c>
      <c r="C207" s="47">
        <v>1.55</v>
      </c>
      <c r="D207" s="48">
        <v>0.00328</v>
      </c>
      <c r="E207" s="77">
        <f t="shared" si="2"/>
        <v>0.009389999999999999</v>
      </c>
      <c r="F207" s="15"/>
      <c r="G207" s="15"/>
    </row>
    <row r="208" spans="1:5" ht="12.75">
      <c r="A208" s="7">
        <v>2007</v>
      </c>
      <c r="B208" s="7" t="s">
        <v>4</v>
      </c>
      <c r="C208" s="9">
        <v>1.55</v>
      </c>
      <c r="D208" s="10">
        <f>(28*0.328%+3*0.452%)/31</f>
        <v>0.0034000000000000002</v>
      </c>
      <c r="E208" s="76">
        <f t="shared" si="2"/>
        <v>0.00945</v>
      </c>
    </row>
    <row r="209" spans="2:5" ht="12.75">
      <c r="B209" s="7" t="s">
        <v>5</v>
      </c>
      <c r="C209" s="9">
        <v>1.55</v>
      </c>
      <c r="D209" s="10">
        <v>0.00452</v>
      </c>
      <c r="E209" s="76">
        <f t="shared" si="2"/>
        <v>0.01001</v>
      </c>
    </row>
    <row r="210" spans="2:5" ht="12.75">
      <c r="B210" s="7" t="s">
        <v>6</v>
      </c>
      <c r="C210" s="9">
        <v>1.55</v>
      </c>
      <c r="D210" s="10">
        <v>0.00452</v>
      </c>
      <c r="E210" s="76">
        <f t="shared" si="2"/>
        <v>0.01001</v>
      </c>
    </row>
    <row r="211" spans="2:5" ht="12.75">
      <c r="B211" s="7" t="s">
        <v>7</v>
      </c>
      <c r="C211" s="9">
        <v>1.55</v>
      </c>
      <c r="D211" s="10">
        <v>0.00452</v>
      </c>
      <c r="E211" s="76">
        <f t="shared" si="2"/>
        <v>0.01001</v>
      </c>
    </row>
    <row r="212" spans="2:5" ht="12.75">
      <c r="B212" s="7" t="s">
        <v>8</v>
      </c>
      <c r="C212" s="9">
        <v>1.55</v>
      </c>
      <c r="D212" s="10">
        <v>0.00452</v>
      </c>
      <c r="E212" s="76">
        <f aca="true" t="shared" si="3" ref="E212:E220">(C212/100+D212)/2</f>
        <v>0.01001</v>
      </c>
    </row>
    <row r="213" spans="2:5" ht="12.75">
      <c r="B213" s="7" t="s">
        <v>9</v>
      </c>
      <c r="C213" s="9">
        <v>1.55</v>
      </c>
      <c r="D213" s="10">
        <v>0.00452</v>
      </c>
      <c r="E213" s="76">
        <f t="shared" si="3"/>
        <v>0.01001</v>
      </c>
    </row>
    <row r="214" spans="2:5" ht="12.75">
      <c r="B214" s="7" t="s">
        <v>10</v>
      </c>
      <c r="C214" s="9">
        <v>1.55</v>
      </c>
      <c r="D214" s="10">
        <v>0.00452</v>
      </c>
      <c r="E214" s="76">
        <f t="shared" si="3"/>
        <v>0.01001</v>
      </c>
    </row>
    <row r="215" spans="2:5" ht="12.75">
      <c r="B215" s="7" t="s">
        <v>11</v>
      </c>
      <c r="C215" s="9">
        <v>1.55</v>
      </c>
      <c r="D215" s="10">
        <f>(23*0.452%+8*0.534%)/31</f>
        <v>0.004731612903225806</v>
      </c>
      <c r="E215" s="76">
        <f t="shared" si="3"/>
        <v>0.010115806451612903</v>
      </c>
    </row>
    <row r="216" spans="2:5" ht="12.75">
      <c r="B216" s="7" t="s">
        <v>12</v>
      </c>
      <c r="C216" s="9">
        <v>1.55</v>
      </c>
      <c r="D216" s="19">
        <v>0.00534</v>
      </c>
      <c r="E216" s="76">
        <f t="shared" si="3"/>
        <v>0.01042</v>
      </c>
    </row>
    <row r="217" spans="2:5" ht="12.75">
      <c r="B217" s="7" t="s">
        <v>13</v>
      </c>
      <c r="C217" s="9">
        <v>1.55</v>
      </c>
      <c r="D217" s="19">
        <v>0.00534</v>
      </c>
      <c r="E217" s="76">
        <f t="shared" si="3"/>
        <v>0.01042</v>
      </c>
    </row>
    <row r="218" spans="2:5" ht="12.75">
      <c r="B218" s="7" t="s">
        <v>14</v>
      </c>
      <c r="C218" s="9">
        <v>1.55</v>
      </c>
      <c r="D218" s="19">
        <v>0.00534</v>
      </c>
      <c r="E218" s="76">
        <f t="shared" si="3"/>
        <v>0.01042</v>
      </c>
    </row>
    <row r="219" spans="1:7" ht="12.75">
      <c r="A219" s="15"/>
      <c r="B219" s="15" t="s">
        <v>15</v>
      </c>
      <c r="C219" s="47">
        <v>1.55</v>
      </c>
      <c r="D219" s="64">
        <v>0.00534</v>
      </c>
      <c r="E219" s="77">
        <f t="shared" si="3"/>
        <v>0.01042</v>
      </c>
      <c r="F219" s="15"/>
      <c r="G219" s="15"/>
    </row>
    <row r="220" spans="1:5" ht="12.75">
      <c r="A220" s="7">
        <v>2008</v>
      </c>
      <c r="B220" s="7" t="s">
        <v>4</v>
      </c>
      <c r="C220" s="9">
        <v>1.55</v>
      </c>
      <c r="D220" s="19">
        <v>0.00534</v>
      </c>
      <c r="E220" s="76">
        <f t="shared" si="3"/>
        <v>0.01042</v>
      </c>
    </row>
    <row r="221" spans="2:5" ht="12.75">
      <c r="B221" s="7" t="s">
        <v>5</v>
      </c>
      <c r="C221" s="9">
        <v>1.55</v>
      </c>
      <c r="D221" s="19">
        <v>0.00534</v>
      </c>
      <c r="E221" s="76">
        <f aca="true" t="shared" si="4" ref="E221:E228">(C221/100+D221)/2</f>
        <v>0.01042</v>
      </c>
    </row>
    <row r="222" spans="2:5" ht="12.75">
      <c r="B222" s="7" t="s">
        <v>6</v>
      </c>
      <c r="C222" s="9">
        <v>1.55</v>
      </c>
      <c r="D222" s="19">
        <v>0.00534</v>
      </c>
      <c r="E222" s="76">
        <f t="shared" si="4"/>
        <v>0.01042</v>
      </c>
    </row>
    <row r="223" spans="2:5" ht="12.75">
      <c r="B223" s="7" t="s">
        <v>7</v>
      </c>
      <c r="C223" s="9">
        <v>1.55</v>
      </c>
      <c r="D223" s="19">
        <v>0.00534</v>
      </c>
      <c r="E223" s="76">
        <f t="shared" si="4"/>
        <v>0.01042</v>
      </c>
    </row>
    <row r="224" spans="2:5" ht="12.75">
      <c r="B224" s="7" t="s">
        <v>8</v>
      </c>
      <c r="C224" s="9">
        <v>1.55</v>
      </c>
      <c r="D224" s="3">
        <f>(22*0.534%+9*0.699%)/31</f>
        <v>0.005819032258064516</v>
      </c>
      <c r="E224" s="76">
        <f t="shared" si="4"/>
        <v>0.010659516129032258</v>
      </c>
    </row>
    <row r="225" spans="2:5" ht="12.75">
      <c r="B225" s="7" t="s">
        <v>9</v>
      </c>
      <c r="C225" s="9">
        <v>1.55</v>
      </c>
      <c r="D225" s="65">
        <f>8.5%/365*30</f>
        <v>0.006986301369863015</v>
      </c>
      <c r="E225" s="76">
        <f t="shared" si="4"/>
        <v>0.011243150684931508</v>
      </c>
    </row>
    <row r="226" spans="2:5" ht="12.75">
      <c r="B226" s="7" t="s">
        <v>10</v>
      </c>
      <c r="C226" s="9">
        <v>1.55</v>
      </c>
      <c r="D226" s="65">
        <f>8.5%/365*30</f>
        <v>0.006986301369863015</v>
      </c>
      <c r="E226" s="76">
        <f t="shared" si="4"/>
        <v>0.011243150684931508</v>
      </c>
    </row>
    <row r="227" spans="2:5" ht="12.75">
      <c r="B227" s="7" t="s">
        <v>11</v>
      </c>
      <c r="C227" s="9">
        <v>1.55</v>
      </c>
      <c r="D227" s="65">
        <f>8.5%/365*30</f>
        <v>0.006986301369863015</v>
      </c>
      <c r="E227" s="76">
        <f t="shared" si="4"/>
        <v>0.011243150684931508</v>
      </c>
    </row>
    <row r="228" spans="2:5" ht="12.75">
      <c r="B228" s="7" t="s">
        <v>12</v>
      </c>
      <c r="C228" s="9">
        <v>1.55</v>
      </c>
      <c r="D228" s="3">
        <f>(14*0.699%+16*0.74%)/30</f>
        <v>0.007208666666666667</v>
      </c>
      <c r="E228" s="76">
        <f t="shared" si="4"/>
        <v>0.011354333333333334</v>
      </c>
    </row>
    <row r="229" spans="2:5" ht="12.75">
      <c r="B229" s="7" t="s">
        <v>13</v>
      </c>
      <c r="C229" s="9">
        <v>1.55</v>
      </c>
      <c r="D229" s="3">
        <f aca="true" t="shared" si="5" ref="D229:D247">(30*0.74%)/30</f>
        <v>0.0074</v>
      </c>
      <c r="E229" s="76">
        <f aca="true" t="shared" si="6" ref="E229:E236">(C229/100+D229)/2</f>
        <v>0.01145</v>
      </c>
    </row>
    <row r="230" spans="2:5" ht="12.75">
      <c r="B230" s="7" t="s">
        <v>14</v>
      </c>
      <c r="C230" s="9">
        <v>1.55</v>
      </c>
      <c r="D230" s="3">
        <f t="shared" si="5"/>
        <v>0.0074</v>
      </c>
      <c r="E230" s="76">
        <f t="shared" si="6"/>
        <v>0.01145</v>
      </c>
    </row>
    <row r="231" spans="1:7" ht="12.75">
      <c r="A231" s="15"/>
      <c r="B231" s="15" t="s">
        <v>15</v>
      </c>
      <c r="C231" s="47">
        <v>1.55</v>
      </c>
      <c r="D231" s="48">
        <f t="shared" si="5"/>
        <v>0.0074</v>
      </c>
      <c r="E231" s="77">
        <f t="shared" si="6"/>
        <v>0.01145</v>
      </c>
      <c r="F231" s="15"/>
      <c r="G231" s="15"/>
    </row>
    <row r="232" spans="1:5" ht="12.75">
      <c r="A232" s="7">
        <v>2009</v>
      </c>
      <c r="B232" s="7" t="s">
        <v>4</v>
      </c>
      <c r="C232" s="9">
        <v>1.55</v>
      </c>
      <c r="D232" s="3">
        <f t="shared" si="5"/>
        <v>0.0074</v>
      </c>
      <c r="E232" s="76">
        <f t="shared" si="6"/>
        <v>0.01145</v>
      </c>
    </row>
    <row r="233" spans="2:5" ht="12.75">
      <c r="B233" s="7" t="s">
        <v>5</v>
      </c>
      <c r="C233" s="9">
        <v>1.55</v>
      </c>
      <c r="D233" s="3">
        <f t="shared" si="5"/>
        <v>0.0074</v>
      </c>
      <c r="E233" s="76">
        <f t="shared" si="6"/>
        <v>0.01145</v>
      </c>
    </row>
    <row r="234" spans="2:5" ht="12.75">
      <c r="B234" s="7" t="s">
        <v>6</v>
      </c>
      <c r="C234" s="9">
        <v>1.55</v>
      </c>
      <c r="D234" s="3">
        <f t="shared" si="5"/>
        <v>0.0074</v>
      </c>
      <c r="E234" s="76">
        <f t="shared" si="6"/>
        <v>0.01145</v>
      </c>
    </row>
    <row r="235" spans="2:5" ht="12.75">
      <c r="B235" s="7" t="s">
        <v>7</v>
      </c>
      <c r="C235" s="9">
        <v>1.55</v>
      </c>
      <c r="D235" s="3">
        <f t="shared" si="5"/>
        <v>0.0074</v>
      </c>
      <c r="E235" s="76">
        <f t="shared" si="6"/>
        <v>0.01145</v>
      </c>
    </row>
    <row r="236" spans="2:5" ht="12.75">
      <c r="B236" s="7" t="s">
        <v>8</v>
      </c>
      <c r="C236" s="9">
        <v>1.55</v>
      </c>
      <c r="D236" s="3">
        <f t="shared" si="5"/>
        <v>0.0074</v>
      </c>
      <c r="E236" s="76">
        <f t="shared" si="6"/>
        <v>0.01145</v>
      </c>
    </row>
    <row r="237" spans="2:5" ht="12.75">
      <c r="B237" s="7" t="s">
        <v>9</v>
      </c>
      <c r="C237" s="9">
        <v>1.55</v>
      </c>
      <c r="D237" s="3">
        <f t="shared" si="5"/>
        <v>0.0074</v>
      </c>
      <c r="E237" s="76">
        <f aca="true" t="shared" si="7" ref="E237:E250">(C237/100+D237)/2</f>
        <v>0.01145</v>
      </c>
    </row>
    <row r="238" spans="2:5" ht="12.75">
      <c r="B238" s="7" t="s">
        <v>10</v>
      </c>
      <c r="C238" s="9">
        <v>1.55</v>
      </c>
      <c r="D238" s="3">
        <f t="shared" si="5"/>
        <v>0.0074</v>
      </c>
      <c r="E238" s="76">
        <f t="shared" si="7"/>
        <v>0.01145</v>
      </c>
    </row>
    <row r="239" spans="2:5" ht="12.75">
      <c r="B239" s="82" t="s">
        <v>11</v>
      </c>
      <c r="C239" s="9">
        <v>1.55</v>
      </c>
      <c r="D239" s="3">
        <f t="shared" si="5"/>
        <v>0.0074</v>
      </c>
      <c r="E239" s="76">
        <f t="shared" si="7"/>
        <v>0.01145</v>
      </c>
    </row>
    <row r="240" spans="2:5" ht="12.75">
      <c r="B240" s="82" t="s">
        <v>12</v>
      </c>
      <c r="C240" s="9">
        <v>1.55</v>
      </c>
      <c r="D240" s="3">
        <f t="shared" si="5"/>
        <v>0.0074</v>
      </c>
      <c r="E240" s="76">
        <f t="shared" si="7"/>
        <v>0.01145</v>
      </c>
    </row>
    <row r="241" spans="2:5" ht="12.75">
      <c r="B241" s="82" t="s">
        <v>13</v>
      </c>
      <c r="C241" s="9">
        <v>1.55</v>
      </c>
      <c r="D241" s="3">
        <f t="shared" si="5"/>
        <v>0.0074</v>
      </c>
      <c r="E241" s="76">
        <f t="shared" si="7"/>
        <v>0.01145</v>
      </c>
    </row>
    <row r="242" spans="2:5" ht="12.75">
      <c r="B242" s="7" t="s">
        <v>14</v>
      </c>
      <c r="C242" s="9">
        <v>1.55</v>
      </c>
      <c r="D242" s="3">
        <f t="shared" si="5"/>
        <v>0.0074</v>
      </c>
      <c r="E242" s="76">
        <f t="shared" si="7"/>
        <v>0.01145</v>
      </c>
    </row>
    <row r="243" spans="1:7" ht="12.75">
      <c r="A243" s="15"/>
      <c r="B243" s="15" t="s">
        <v>15</v>
      </c>
      <c r="C243" s="47">
        <v>1.55</v>
      </c>
      <c r="D243" s="48">
        <f t="shared" si="5"/>
        <v>0.0074</v>
      </c>
      <c r="E243" s="77">
        <f t="shared" si="7"/>
        <v>0.01145</v>
      </c>
      <c r="F243" s="15"/>
      <c r="G243" s="15"/>
    </row>
    <row r="244" spans="1:5" ht="12.75">
      <c r="A244" s="7">
        <v>2010</v>
      </c>
      <c r="B244" s="7" t="s">
        <v>4</v>
      </c>
      <c r="C244" s="9">
        <v>1.55</v>
      </c>
      <c r="D244" s="3">
        <f t="shared" si="5"/>
        <v>0.0074</v>
      </c>
      <c r="E244" s="76">
        <f t="shared" si="7"/>
        <v>0.01145</v>
      </c>
    </row>
    <row r="245" spans="2:5" ht="12.75">
      <c r="B245" s="7" t="s">
        <v>5</v>
      </c>
      <c r="C245" s="9">
        <v>1.55</v>
      </c>
      <c r="D245" s="3">
        <f t="shared" si="5"/>
        <v>0.0074</v>
      </c>
      <c r="E245" s="76">
        <f t="shared" si="7"/>
        <v>0.01145</v>
      </c>
    </row>
    <row r="246" spans="2:5" ht="12.75">
      <c r="B246" s="7" t="s">
        <v>6</v>
      </c>
      <c r="C246" s="9">
        <v>1.55</v>
      </c>
      <c r="D246" s="3">
        <f t="shared" si="5"/>
        <v>0.0074</v>
      </c>
      <c r="E246" s="76">
        <f t="shared" si="7"/>
        <v>0.01145</v>
      </c>
    </row>
    <row r="247" spans="2:5" ht="12.75">
      <c r="B247" s="7" t="s">
        <v>7</v>
      </c>
      <c r="C247" s="9">
        <v>1.55</v>
      </c>
      <c r="D247" s="3">
        <f t="shared" si="5"/>
        <v>0.0074</v>
      </c>
      <c r="E247" s="76">
        <f t="shared" si="7"/>
        <v>0.01145</v>
      </c>
    </row>
    <row r="248" spans="2:5" ht="12.75">
      <c r="B248" s="7" t="s">
        <v>8</v>
      </c>
      <c r="C248" s="9">
        <v>1.55</v>
      </c>
      <c r="D248" s="19">
        <f>(6*0.74%+25*0.699%)/31</f>
        <v>0.007069354838709677</v>
      </c>
      <c r="E248" s="76">
        <f t="shared" si="7"/>
        <v>0.011284677419354839</v>
      </c>
    </row>
    <row r="249" spans="2:5" ht="12.75">
      <c r="B249" s="82" t="s">
        <v>9</v>
      </c>
      <c r="C249" s="9">
        <v>1.55</v>
      </c>
      <c r="D249" s="65">
        <f>8.5%/365*30</f>
        <v>0.006986301369863015</v>
      </c>
      <c r="E249" s="76">
        <f t="shared" si="7"/>
        <v>0.011243150684931508</v>
      </c>
    </row>
    <row r="250" spans="2:5" ht="12.75">
      <c r="B250" s="82" t="s">
        <v>10</v>
      </c>
      <c r="C250" s="9">
        <v>1.55</v>
      </c>
      <c r="D250" s="65">
        <f>8.5%/365*30</f>
        <v>0.006986301369863015</v>
      </c>
      <c r="E250" s="76">
        <f t="shared" si="7"/>
        <v>0.011243150684931508</v>
      </c>
    </row>
    <row r="251" spans="2:5" ht="12.75">
      <c r="B251" s="82" t="s">
        <v>11</v>
      </c>
      <c r="C251" s="9">
        <v>1.55</v>
      </c>
      <c r="D251" s="65">
        <f>8.5%/365*30</f>
        <v>0.006986301369863015</v>
      </c>
      <c r="E251" s="76">
        <f aca="true" t="shared" si="8" ref="E251:E259">(C251/100+D251)/2</f>
        <v>0.011243150684931508</v>
      </c>
    </row>
    <row r="252" spans="2:5" ht="12.75">
      <c r="B252" s="82" t="s">
        <v>12</v>
      </c>
      <c r="C252" s="9">
        <v>1.55</v>
      </c>
      <c r="D252" s="65">
        <f>(0.699%*8+0.616%*22)/30</f>
        <v>0.0063813333333333335</v>
      </c>
      <c r="E252" s="76">
        <f t="shared" si="8"/>
        <v>0.010940666666666666</v>
      </c>
    </row>
    <row r="253" spans="2:5" ht="12.75">
      <c r="B253" s="82" t="s">
        <v>13</v>
      </c>
      <c r="C253" s="9">
        <v>1.55</v>
      </c>
      <c r="D253" s="65">
        <f aca="true" t="shared" si="9" ref="D253:D272">7.5%/365*30</f>
        <v>0.0061643835616438354</v>
      </c>
      <c r="E253" s="76">
        <f t="shared" si="8"/>
        <v>0.010832191780821917</v>
      </c>
    </row>
    <row r="254" spans="2:5" ht="12.75">
      <c r="B254" s="7" t="s">
        <v>14</v>
      </c>
      <c r="C254" s="9">
        <v>1.55</v>
      </c>
      <c r="D254" s="65">
        <f t="shared" si="9"/>
        <v>0.0061643835616438354</v>
      </c>
      <c r="E254" s="76">
        <f t="shared" si="8"/>
        <v>0.010832191780821917</v>
      </c>
    </row>
    <row r="255" spans="1:5" ht="12.75">
      <c r="A255" s="15"/>
      <c r="B255" s="15" t="s">
        <v>15</v>
      </c>
      <c r="C255" s="47">
        <v>1.55</v>
      </c>
      <c r="D255" s="51">
        <f t="shared" si="9"/>
        <v>0.0061643835616438354</v>
      </c>
      <c r="E255" s="77">
        <f t="shared" si="8"/>
        <v>0.010832191780821917</v>
      </c>
    </row>
    <row r="256" spans="1:5" ht="12.75">
      <c r="A256" s="7">
        <v>2011</v>
      </c>
      <c r="B256" s="7" t="s">
        <v>4</v>
      </c>
      <c r="C256" s="9">
        <v>1.55</v>
      </c>
      <c r="D256" s="65">
        <f t="shared" si="9"/>
        <v>0.0061643835616438354</v>
      </c>
      <c r="E256" s="76">
        <f t="shared" si="8"/>
        <v>0.010832191780821917</v>
      </c>
    </row>
    <row r="257" spans="2:5" ht="12.75">
      <c r="B257" s="7" t="s">
        <v>5</v>
      </c>
      <c r="C257" s="9">
        <v>1.55</v>
      </c>
      <c r="D257" s="65">
        <f t="shared" si="9"/>
        <v>0.0061643835616438354</v>
      </c>
      <c r="E257" s="76">
        <f t="shared" si="8"/>
        <v>0.010832191780821917</v>
      </c>
    </row>
    <row r="258" spans="2:5" ht="12.75">
      <c r="B258" s="7" t="s">
        <v>6</v>
      </c>
      <c r="C258" s="9">
        <v>1.55</v>
      </c>
      <c r="D258" s="65">
        <f t="shared" si="9"/>
        <v>0.0061643835616438354</v>
      </c>
      <c r="E258" s="76">
        <f t="shared" si="8"/>
        <v>0.010832191780821917</v>
      </c>
    </row>
    <row r="259" spans="2:5" ht="12.75">
      <c r="B259" s="7" t="s">
        <v>7</v>
      </c>
      <c r="C259" s="9">
        <v>1.55</v>
      </c>
      <c r="D259" s="65">
        <f t="shared" si="9"/>
        <v>0.0061643835616438354</v>
      </c>
      <c r="E259" s="76">
        <f t="shared" si="8"/>
        <v>0.010832191780821917</v>
      </c>
    </row>
    <row r="260" spans="2:5" ht="12.75">
      <c r="B260" s="7" t="s">
        <v>8</v>
      </c>
      <c r="C260" s="9">
        <v>1.55</v>
      </c>
      <c r="D260" s="65">
        <f t="shared" si="9"/>
        <v>0.0061643835616438354</v>
      </c>
      <c r="E260" s="76">
        <f aca="true" t="shared" si="10" ref="E260:E271">(C260/100+D260)/2</f>
        <v>0.010832191780821917</v>
      </c>
    </row>
    <row r="261" spans="2:5" ht="12.75">
      <c r="B261" s="82" t="s">
        <v>9</v>
      </c>
      <c r="C261" s="9">
        <v>1.55</v>
      </c>
      <c r="D261" s="65">
        <f t="shared" si="9"/>
        <v>0.0061643835616438354</v>
      </c>
      <c r="E261" s="76">
        <f t="shared" si="10"/>
        <v>0.010832191780821917</v>
      </c>
    </row>
    <row r="262" spans="2:5" ht="12.75">
      <c r="B262" s="82" t="s">
        <v>10</v>
      </c>
      <c r="C262" s="9">
        <v>1.55</v>
      </c>
      <c r="D262" s="65">
        <f t="shared" si="9"/>
        <v>0.0061643835616438354</v>
      </c>
      <c r="E262" s="76">
        <f t="shared" si="10"/>
        <v>0.010832191780821917</v>
      </c>
    </row>
    <row r="263" spans="2:5" ht="12.75">
      <c r="B263" s="82" t="s">
        <v>11</v>
      </c>
      <c r="C263" s="9">
        <v>1.55</v>
      </c>
      <c r="D263" s="65">
        <f t="shared" si="9"/>
        <v>0.0061643835616438354</v>
      </c>
      <c r="E263" s="76">
        <f t="shared" si="10"/>
        <v>0.010832191780821917</v>
      </c>
    </row>
    <row r="264" spans="2:5" ht="12.75">
      <c r="B264" s="82" t="s">
        <v>12</v>
      </c>
      <c r="C264" s="9">
        <v>1.55</v>
      </c>
      <c r="D264" s="65">
        <f t="shared" si="9"/>
        <v>0.0061643835616438354</v>
      </c>
      <c r="E264" s="76">
        <f t="shared" si="10"/>
        <v>0.010832191780821917</v>
      </c>
    </row>
    <row r="265" spans="2:5" ht="12.75">
      <c r="B265" s="82" t="s">
        <v>13</v>
      </c>
      <c r="C265" s="9">
        <v>1.55</v>
      </c>
      <c r="D265" s="65">
        <f t="shared" si="9"/>
        <v>0.0061643835616438354</v>
      </c>
      <c r="E265" s="76">
        <f t="shared" si="10"/>
        <v>0.010832191780821917</v>
      </c>
    </row>
    <row r="266" spans="2:5" ht="12.75">
      <c r="B266" s="7" t="s">
        <v>14</v>
      </c>
      <c r="C266" s="9">
        <v>1.55</v>
      </c>
      <c r="D266" s="65">
        <f t="shared" si="9"/>
        <v>0.0061643835616438354</v>
      </c>
      <c r="E266" s="76">
        <f t="shared" si="10"/>
        <v>0.010832191780821917</v>
      </c>
    </row>
    <row r="267" spans="1:5" ht="12.75">
      <c r="A267" s="15"/>
      <c r="B267" s="15" t="s">
        <v>15</v>
      </c>
      <c r="C267" s="47">
        <v>1.55</v>
      </c>
      <c r="D267" s="51">
        <f t="shared" si="9"/>
        <v>0.0061643835616438354</v>
      </c>
      <c r="E267" s="77">
        <f t="shared" si="10"/>
        <v>0.010832191780821917</v>
      </c>
    </row>
    <row r="268" spans="1:5" ht="12.75">
      <c r="A268" s="7">
        <v>2012</v>
      </c>
      <c r="B268" s="7" t="s">
        <v>4</v>
      </c>
      <c r="C268" s="9">
        <v>1.55</v>
      </c>
      <c r="D268" s="65">
        <f t="shared" si="9"/>
        <v>0.0061643835616438354</v>
      </c>
      <c r="E268" s="76">
        <f t="shared" si="10"/>
        <v>0.010832191780821917</v>
      </c>
    </row>
    <row r="269" spans="2:5" ht="12.75">
      <c r="B269" s="7" t="s">
        <v>5</v>
      </c>
      <c r="C269" s="9">
        <v>1.55</v>
      </c>
      <c r="D269" s="65">
        <f t="shared" si="9"/>
        <v>0.0061643835616438354</v>
      </c>
      <c r="E269" s="76">
        <f t="shared" si="10"/>
        <v>0.010832191780821917</v>
      </c>
    </row>
    <row r="270" spans="2:5" ht="12.75">
      <c r="B270" s="7" t="s">
        <v>6</v>
      </c>
      <c r="C270" s="9">
        <v>1.55</v>
      </c>
      <c r="D270" s="65">
        <f t="shared" si="9"/>
        <v>0.0061643835616438354</v>
      </c>
      <c r="E270" s="76">
        <f t="shared" si="10"/>
        <v>0.010832191780821917</v>
      </c>
    </row>
    <row r="271" spans="2:5" ht="12.75">
      <c r="B271" s="7" t="s">
        <v>7</v>
      </c>
      <c r="C271" s="9">
        <v>1.55</v>
      </c>
      <c r="D271" s="65">
        <f t="shared" si="9"/>
        <v>0.0061643835616438354</v>
      </c>
      <c r="E271" s="76">
        <f t="shared" si="10"/>
        <v>0.010832191780821917</v>
      </c>
    </row>
    <row r="272" spans="2:5" ht="12.75">
      <c r="B272" s="82" t="s">
        <v>8</v>
      </c>
      <c r="C272" s="9">
        <v>1.55</v>
      </c>
      <c r="D272" s="65">
        <f t="shared" si="9"/>
        <v>0.0061643835616438354</v>
      </c>
      <c r="E272" s="76">
        <f aca="true" t="shared" si="11" ref="E272:E283">(C272/100+D272)/2</f>
        <v>0.010832191780821917</v>
      </c>
    </row>
    <row r="273" spans="2:5" ht="12.75">
      <c r="B273" s="82" t="s">
        <v>9</v>
      </c>
      <c r="C273" s="9">
        <v>1.55</v>
      </c>
      <c r="D273" s="71">
        <f>(3*0.616%+27*0.699%)/30</f>
        <v>0.006906999999999999</v>
      </c>
      <c r="E273" s="76">
        <f t="shared" si="11"/>
        <v>0.0112035</v>
      </c>
    </row>
    <row r="274" spans="2:5" ht="12.75">
      <c r="B274" s="82" t="s">
        <v>10</v>
      </c>
      <c r="C274" s="9">
        <v>1.55</v>
      </c>
      <c r="D274" s="65">
        <f aca="true" t="shared" si="12" ref="D274:D283">8.5%/365*30</f>
        <v>0.006986301369863015</v>
      </c>
      <c r="E274" s="76">
        <f t="shared" si="11"/>
        <v>0.011243150684931508</v>
      </c>
    </row>
    <row r="275" spans="2:5" ht="12.75">
      <c r="B275" s="82" t="s">
        <v>11</v>
      </c>
      <c r="C275" s="9">
        <v>1.55</v>
      </c>
      <c r="D275" s="65">
        <f t="shared" si="12"/>
        <v>0.006986301369863015</v>
      </c>
      <c r="E275" s="76">
        <f t="shared" si="11"/>
        <v>0.011243150684931508</v>
      </c>
    </row>
    <row r="276" spans="2:5" ht="12.75">
      <c r="B276" s="82" t="s">
        <v>12</v>
      </c>
      <c r="C276" s="9">
        <v>1.55</v>
      </c>
      <c r="D276" s="65">
        <f t="shared" si="12"/>
        <v>0.006986301369863015</v>
      </c>
      <c r="E276" s="76">
        <f t="shared" si="11"/>
        <v>0.011243150684931508</v>
      </c>
    </row>
    <row r="277" spans="2:5" ht="12.75">
      <c r="B277" s="82" t="s">
        <v>13</v>
      </c>
      <c r="C277" s="9">
        <v>1.55</v>
      </c>
      <c r="D277" s="65">
        <f t="shared" si="12"/>
        <v>0.006986301369863015</v>
      </c>
      <c r="E277" s="76">
        <f t="shared" si="11"/>
        <v>0.011243150684931508</v>
      </c>
    </row>
    <row r="278" spans="2:5" ht="12.75">
      <c r="B278" s="82" t="s">
        <v>14</v>
      </c>
      <c r="C278" s="9">
        <v>1.55</v>
      </c>
      <c r="D278" s="65">
        <f t="shared" si="12"/>
        <v>0.006986301369863015</v>
      </c>
      <c r="E278" s="76">
        <f t="shared" si="11"/>
        <v>0.011243150684931508</v>
      </c>
    </row>
    <row r="279" spans="1:5" ht="12.75">
      <c r="A279" s="15"/>
      <c r="B279" s="15" t="s">
        <v>15</v>
      </c>
      <c r="C279" s="47">
        <v>1.55</v>
      </c>
      <c r="D279" s="51">
        <f>8.5%/365*30</f>
        <v>0.006986301369863015</v>
      </c>
      <c r="E279" s="77">
        <f t="shared" si="11"/>
        <v>0.011243150684931508</v>
      </c>
    </row>
    <row r="280" spans="1:5" ht="12.75">
      <c r="A280" s="7">
        <v>2013</v>
      </c>
      <c r="B280" s="7" t="s">
        <v>4</v>
      </c>
      <c r="C280" s="9">
        <v>1.55</v>
      </c>
      <c r="D280" s="65">
        <f>8.5%/365*30</f>
        <v>0.006986301369863015</v>
      </c>
      <c r="E280" s="76">
        <f t="shared" si="11"/>
        <v>0.011243150684931508</v>
      </c>
    </row>
    <row r="281" spans="2:5" ht="12.75">
      <c r="B281" s="7" t="s">
        <v>5</v>
      </c>
      <c r="C281" s="9">
        <v>1.55</v>
      </c>
      <c r="D281" s="65">
        <f t="shared" si="12"/>
        <v>0.006986301369863015</v>
      </c>
      <c r="E281" s="76">
        <f t="shared" si="11"/>
        <v>0.011243150684931508</v>
      </c>
    </row>
    <row r="282" spans="2:5" ht="12.75">
      <c r="B282" s="7" t="s">
        <v>6</v>
      </c>
      <c r="C282" s="9">
        <v>1.55</v>
      </c>
      <c r="D282" s="65">
        <f t="shared" si="12"/>
        <v>0.006986301369863015</v>
      </c>
      <c r="E282" s="76">
        <f t="shared" si="11"/>
        <v>0.011243150684931508</v>
      </c>
    </row>
    <row r="283" spans="2:5" ht="12.75">
      <c r="B283" s="7" t="s">
        <v>7</v>
      </c>
      <c r="C283" s="9">
        <v>1.55</v>
      </c>
      <c r="D283" s="65">
        <f t="shared" si="12"/>
        <v>0.006986301369863015</v>
      </c>
      <c r="E283" s="76">
        <f t="shared" si="11"/>
        <v>0.011243150684931508</v>
      </c>
    </row>
    <row r="284" spans="2:5" ht="12.75">
      <c r="B284" s="82" t="s">
        <v>8</v>
      </c>
      <c r="C284" s="9">
        <v>1.55</v>
      </c>
      <c r="D284" s="71">
        <f>(3*0.699%+28*0.74%)/31</f>
        <v>0.007360322580645161</v>
      </c>
      <c r="E284" s="76">
        <f aca="true" t="shared" si="13" ref="E284:E295">(C284/100+D284)/2</f>
        <v>0.01143016129032258</v>
      </c>
    </row>
    <row r="285" spans="2:5" ht="12.75">
      <c r="B285" s="82" t="s">
        <v>9</v>
      </c>
      <c r="C285" s="9">
        <v>1.55</v>
      </c>
      <c r="D285" s="65">
        <f aca="true" t="shared" si="14" ref="D285:D303">9%/365*30</f>
        <v>0.0073972602739726025</v>
      </c>
      <c r="E285" s="76">
        <f t="shared" si="13"/>
        <v>0.011448630136986302</v>
      </c>
    </row>
    <row r="286" spans="2:5" ht="12.75">
      <c r="B286" s="82" t="s">
        <v>10</v>
      </c>
      <c r="C286" s="9">
        <v>1.55</v>
      </c>
      <c r="D286" s="65">
        <f t="shared" si="14"/>
        <v>0.0073972602739726025</v>
      </c>
      <c r="E286" s="76">
        <f t="shared" si="13"/>
        <v>0.011448630136986302</v>
      </c>
    </row>
    <row r="287" spans="2:5" ht="12.75">
      <c r="B287" s="82" t="s">
        <v>11</v>
      </c>
      <c r="C287" s="9">
        <v>1.55</v>
      </c>
      <c r="D287" s="65">
        <f t="shared" si="14"/>
        <v>0.0073972602739726025</v>
      </c>
      <c r="E287" s="76">
        <f t="shared" si="13"/>
        <v>0.011448630136986302</v>
      </c>
    </row>
    <row r="288" spans="2:5" ht="12.75">
      <c r="B288" s="82" t="s">
        <v>12</v>
      </c>
      <c r="C288" s="9">
        <v>1.55</v>
      </c>
      <c r="D288" s="65">
        <f t="shared" si="14"/>
        <v>0.0073972602739726025</v>
      </c>
      <c r="E288" s="76">
        <f t="shared" si="13"/>
        <v>0.011448630136986302</v>
      </c>
    </row>
    <row r="289" spans="2:5" ht="12.75">
      <c r="B289" s="82" t="s">
        <v>13</v>
      </c>
      <c r="C289" s="9">
        <v>1.55</v>
      </c>
      <c r="D289" s="65">
        <f t="shared" si="14"/>
        <v>0.0073972602739726025</v>
      </c>
      <c r="E289" s="76">
        <f t="shared" si="13"/>
        <v>0.011448630136986302</v>
      </c>
    </row>
    <row r="290" spans="2:5" ht="12.75">
      <c r="B290" s="82" t="s">
        <v>14</v>
      </c>
      <c r="C290" s="9">
        <v>1.55</v>
      </c>
      <c r="D290" s="65">
        <f t="shared" si="14"/>
        <v>0.0073972602739726025</v>
      </c>
      <c r="E290" s="76">
        <f t="shared" si="13"/>
        <v>0.011448630136986302</v>
      </c>
    </row>
    <row r="291" spans="1:5" ht="12.75">
      <c r="A291" s="15"/>
      <c r="B291" s="15" t="s">
        <v>15</v>
      </c>
      <c r="C291" s="47">
        <v>1.55</v>
      </c>
      <c r="D291" s="51">
        <f t="shared" si="14"/>
        <v>0.0073972602739726025</v>
      </c>
      <c r="E291" s="77">
        <f t="shared" si="13"/>
        <v>0.011448630136986302</v>
      </c>
    </row>
    <row r="292" spans="1:5" ht="12.75">
      <c r="A292" s="7">
        <v>2014</v>
      </c>
      <c r="B292" s="7" t="s">
        <v>4</v>
      </c>
      <c r="C292" s="119">
        <f>(28*1.55+3*2.055)/31</f>
        <v>1.5988709677419355</v>
      </c>
      <c r="D292" s="65">
        <f t="shared" si="14"/>
        <v>0.0073972602739726025</v>
      </c>
      <c r="E292" s="76">
        <f t="shared" si="13"/>
        <v>0.011692984975695979</v>
      </c>
    </row>
    <row r="293" spans="2:5" ht="12.75">
      <c r="B293" s="7" t="s">
        <v>5</v>
      </c>
      <c r="C293" s="9">
        <v>2.055</v>
      </c>
      <c r="D293" s="65">
        <f t="shared" si="14"/>
        <v>0.0073972602739726025</v>
      </c>
      <c r="E293" s="76">
        <f t="shared" si="13"/>
        <v>0.013973630136986302</v>
      </c>
    </row>
    <row r="294" spans="2:5" ht="12.75">
      <c r="B294" s="7" t="s">
        <v>6</v>
      </c>
      <c r="C294" s="9">
        <v>2.055</v>
      </c>
      <c r="D294" s="65">
        <f t="shared" si="14"/>
        <v>0.0073972602739726025</v>
      </c>
      <c r="E294" s="76">
        <f t="shared" si="13"/>
        <v>0.013973630136986302</v>
      </c>
    </row>
    <row r="295" spans="2:5" ht="12.75">
      <c r="B295" s="7" t="s">
        <v>7</v>
      </c>
      <c r="C295" s="9">
        <v>2.055</v>
      </c>
      <c r="D295" s="65">
        <f t="shared" si="14"/>
        <v>0.0073972602739726025</v>
      </c>
      <c r="E295" s="76">
        <f t="shared" si="13"/>
        <v>0.013973630136986302</v>
      </c>
    </row>
    <row r="296" spans="2:5" ht="12.75">
      <c r="B296" s="82" t="s">
        <v>8</v>
      </c>
      <c r="C296" s="9">
        <v>2.055</v>
      </c>
      <c r="D296" s="65">
        <f t="shared" si="14"/>
        <v>0.0073972602739726025</v>
      </c>
      <c r="E296" s="76">
        <f aca="true" t="shared" si="15" ref="E296:E307">(C296/100+D296)/2</f>
        <v>0.013973630136986302</v>
      </c>
    </row>
    <row r="297" spans="2:5" ht="12.75">
      <c r="B297" s="82" t="s">
        <v>9</v>
      </c>
      <c r="C297" s="9">
        <v>2.055</v>
      </c>
      <c r="D297" s="65">
        <f t="shared" si="14"/>
        <v>0.0073972602739726025</v>
      </c>
      <c r="E297" s="76">
        <f t="shared" si="15"/>
        <v>0.013973630136986302</v>
      </c>
    </row>
    <row r="298" spans="2:5" ht="12.75">
      <c r="B298" s="82" t="s">
        <v>10</v>
      </c>
      <c r="C298" s="9">
        <v>2.055</v>
      </c>
      <c r="D298" s="65">
        <f t="shared" si="14"/>
        <v>0.0073972602739726025</v>
      </c>
      <c r="E298" s="76">
        <f t="shared" si="15"/>
        <v>0.013973630136986302</v>
      </c>
    </row>
    <row r="299" spans="2:5" ht="12.75">
      <c r="B299" s="82" t="s">
        <v>11</v>
      </c>
      <c r="C299" s="9">
        <v>2.055</v>
      </c>
      <c r="D299" s="65">
        <f t="shared" si="14"/>
        <v>0.0073972602739726025</v>
      </c>
      <c r="E299" s="76">
        <f t="shared" si="15"/>
        <v>0.013973630136986302</v>
      </c>
    </row>
    <row r="300" spans="2:5" ht="12.75">
      <c r="B300" s="82" t="s">
        <v>12</v>
      </c>
      <c r="C300" s="9">
        <v>2.055</v>
      </c>
      <c r="D300" s="65">
        <f t="shared" si="14"/>
        <v>0.0073972602739726025</v>
      </c>
      <c r="E300" s="76">
        <f t="shared" si="15"/>
        <v>0.013973630136986302</v>
      </c>
    </row>
    <row r="301" spans="2:5" ht="12.75">
      <c r="B301" s="82" t="s">
        <v>13</v>
      </c>
      <c r="C301" s="9">
        <v>2.055</v>
      </c>
      <c r="D301" s="65">
        <f t="shared" si="14"/>
        <v>0.0073972602739726025</v>
      </c>
      <c r="E301" s="76">
        <f t="shared" si="15"/>
        <v>0.013973630136986302</v>
      </c>
    </row>
    <row r="302" spans="2:5" ht="12.75">
      <c r="B302" s="82" t="s">
        <v>14</v>
      </c>
      <c r="C302" s="9">
        <v>2.055</v>
      </c>
      <c r="D302" s="65">
        <f t="shared" si="14"/>
        <v>0.0073972602739726025</v>
      </c>
      <c r="E302" s="76">
        <f t="shared" si="15"/>
        <v>0.013973630136986302</v>
      </c>
    </row>
    <row r="303" spans="1:5" ht="12.75">
      <c r="A303" s="15"/>
      <c r="B303" s="15" t="s">
        <v>15</v>
      </c>
      <c r="C303" s="47">
        <v>2.055</v>
      </c>
      <c r="D303" s="51">
        <f t="shared" si="14"/>
        <v>0.0073972602739726025</v>
      </c>
      <c r="E303" s="77">
        <f t="shared" si="15"/>
        <v>0.013973630136986302</v>
      </c>
    </row>
    <row r="304" spans="1:5" ht="12.75">
      <c r="A304" s="7">
        <v>2015</v>
      </c>
      <c r="B304" s="7" t="s">
        <v>4</v>
      </c>
      <c r="C304" s="9">
        <v>2.055</v>
      </c>
      <c r="D304" s="25">
        <v>0.0074</v>
      </c>
      <c r="E304" s="76">
        <f t="shared" si="15"/>
        <v>0.013975000000000001</v>
      </c>
    </row>
    <row r="305" spans="2:5" ht="12.75">
      <c r="B305" s="7" t="s">
        <v>5</v>
      </c>
      <c r="C305" s="9">
        <v>2.055</v>
      </c>
      <c r="D305" s="25">
        <v>0.0074</v>
      </c>
      <c r="E305" s="76">
        <f t="shared" si="15"/>
        <v>0.013975000000000001</v>
      </c>
    </row>
    <row r="306" spans="2:5" ht="12.75">
      <c r="B306" s="7" t="s">
        <v>6</v>
      </c>
      <c r="C306" s="9">
        <v>2.055</v>
      </c>
      <c r="D306" s="25">
        <v>0.0074</v>
      </c>
      <c r="E306" s="76">
        <f t="shared" si="15"/>
        <v>0.013975000000000001</v>
      </c>
    </row>
    <row r="307" spans="2:5" ht="12.75">
      <c r="B307" s="7" t="s">
        <v>7</v>
      </c>
      <c r="C307" s="9">
        <v>2.055</v>
      </c>
      <c r="D307" s="25">
        <v>0.0074</v>
      </c>
      <c r="E307" s="76">
        <f t="shared" si="15"/>
        <v>0.013975000000000001</v>
      </c>
    </row>
    <row r="308" spans="2:5" ht="12.75">
      <c r="B308" s="82" t="s">
        <v>8</v>
      </c>
      <c r="C308" s="9">
        <v>2.055</v>
      </c>
      <c r="D308" s="25">
        <v>0.0074</v>
      </c>
      <c r="E308" s="76">
        <f>(C308/100+D308)/2</f>
        <v>0.013975000000000001</v>
      </c>
    </row>
    <row r="309" spans="2:5" ht="12.75">
      <c r="B309" s="82" t="s">
        <v>9</v>
      </c>
      <c r="C309" s="9">
        <v>2.055</v>
      </c>
      <c r="D309" s="25">
        <v>0.0074</v>
      </c>
      <c r="E309" s="76">
        <f>(C309/100+D309)/2</f>
        <v>0.013975000000000001</v>
      </c>
    </row>
    <row r="310" spans="2:5" ht="12.75">
      <c r="B310" s="82" t="s">
        <v>10</v>
      </c>
      <c r="C310" s="9">
        <v>2.055</v>
      </c>
      <c r="D310" s="71">
        <f>(23*0.74%+8*1.938%)/31</f>
        <v>0.010491612903225806</v>
      </c>
      <c r="E310" s="76">
        <f>(C310/100+D310)/2</f>
        <v>0.015520806451612905</v>
      </c>
    </row>
    <row r="311" spans="2:5" ht="12.75">
      <c r="B311" s="82" t="s">
        <v>11</v>
      </c>
      <c r="C311" s="9">
        <v>2.055</v>
      </c>
      <c r="D311" s="65">
        <v>0.01938082191780822</v>
      </c>
      <c r="E311" s="76">
        <f>(C311/100+D311)/2</f>
        <v>0.019965410958904112</v>
      </c>
    </row>
    <row r="312" spans="2:5" ht="12.75">
      <c r="B312" s="82" t="s">
        <v>12</v>
      </c>
      <c r="C312" s="9">
        <v>2.055</v>
      </c>
      <c r="D312" s="65">
        <v>0.01938082191780822</v>
      </c>
      <c r="E312" s="76">
        <f>(C312/100+D312)/2</f>
        <v>0.019965410958904112</v>
      </c>
    </row>
    <row r="313" spans="2:5" ht="12.75">
      <c r="B313" s="82" t="s">
        <v>13</v>
      </c>
      <c r="C313" s="9">
        <v>2.055</v>
      </c>
      <c r="D313" s="71">
        <f>(29*1.938%+2.163%)/30</f>
        <v>0.019455</v>
      </c>
      <c r="E313" s="76">
        <f aca="true" t="shared" si="16" ref="E313:E319">(C313/100+D313)/2</f>
        <v>0.0200025</v>
      </c>
    </row>
    <row r="314" spans="2:5" ht="12.75">
      <c r="B314" s="82" t="s">
        <v>14</v>
      </c>
      <c r="C314" s="9">
        <v>2.055</v>
      </c>
      <c r="D314" s="107">
        <v>0.021632876712328768</v>
      </c>
      <c r="E314" s="76">
        <f t="shared" si="16"/>
        <v>0.021091438356164387</v>
      </c>
    </row>
    <row r="315" spans="1:5" ht="12.75">
      <c r="A315" s="15"/>
      <c r="B315" s="15" t="s">
        <v>15</v>
      </c>
      <c r="C315" s="47">
        <v>2.055</v>
      </c>
      <c r="D315" s="95">
        <f>(17*2.163%+14*2.219%)/31</f>
        <v>0.02188290322580645</v>
      </c>
      <c r="E315" s="77">
        <f t="shared" si="16"/>
        <v>0.021216451612903225</v>
      </c>
    </row>
    <row r="316" spans="1:5" ht="12.75">
      <c r="A316" s="7">
        <v>2016</v>
      </c>
      <c r="B316" s="7" t="s">
        <v>4</v>
      </c>
      <c r="C316" s="108">
        <f>(12*2.055+19*2.465)/31</f>
        <v>2.3062903225806455</v>
      </c>
      <c r="D316" s="71">
        <f>(21*2.219%+10*2.055%)/31</f>
        <v>0.02166096774193548</v>
      </c>
      <c r="E316" s="76">
        <f t="shared" si="16"/>
        <v>0.02236193548387097</v>
      </c>
    </row>
    <row r="317" spans="2:5" ht="12.75">
      <c r="B317" s="7" t="s">
        <v>5</v>
      </c>
      <c r="C317" s="9">
        <v>2.465</v>
      </c>
      <c r="D317" s="65">
        <v>0.02054794520547945</v>
      </c>
      <c r="E317" s="76">
        <f t="shared" si="16"/>
        <v>0.022598972602739725</v>
      </c>
    </row>
    <row r="318" spans="2:5" ht="12.75">
      <c r="B318" s="7" t="s">
        <v>6</v>
      </c>
      <c r="C318" s="108">
        <f>(3*2.465+28*2.712)/31</f>
        <v>2.6880967741935486</v>
      </c>
      <c r="D318" s="71">
        <f>(2*2.055%+29*2.26%)/31</f>
        <v>0.02246774193548387</v>
      </c>
      <c r="E318" s="76">
        <f t="shared" si="16"/>
        <v>0.02467435483870968</v>
      </c>
    </row>
    <row r="319" spans="2:5" ht="12.75">
      <c r="B319" s="7" t="s">
        <v>7</v>
      </c>
      <c r="C319" s="106">
        <f>2.712</f>
        <v>2.712</v>
      </c>
      <c r="D319" s="65">
        <v>0.022602739726027398</v>
      </c>
      <c r="E319" s="76">
        <f t="shared" si="16"/>
        <v>0.0248613698630137</v>
      </c>
    </row>
    <row r="320" spans="2:5" ht="12.75">
      <c r="B320" s="82" t="s">
        <v>8</v>
      </c>
      <c r="C320" s="106">
        <f>2.712</f>
        <v>2.712</v>
      </c>
      <c r="D320" s="65">
        <v>0.022602739726027398</v>
      </c>
      <c r="E320" s="76">
        <f>(C320/100+D320)/2</f>
        <v>0.0248613698630137</v>
      </c>
    </row>
    <row r="321" spans="2:5" ht="12.75">
      <c r="B321" s="97" t="s">
        <v>9</v>
      </c>
      <c r="C321" s="106">
        <f>2.712</f>
        <v>2.712</v>
      </c>
      <c r="D321" s="71">
        <f>(13*2.26%+7*2.055%+2*1.973%+6*1.932%+2*1.808%)/30</f>
        <v>0.020973</v>
      </c>
      <c r="E321" s="76">
        <f>(C321/100+D321)/2</f>
        <v>0.0240465</v>
      </c>
    </row>
    <row r="322" spans="2:6" ht="12.75">
      <c r="B322" s="82" t="s">
        <v>10</v>
      </c>
      <c r="C322" s="108">
        <f>(14*2.712+17*2.63)/31</f>
        <v>2.667032258064516</v>
      </c>
      <c r="D322" s="71">
        <f>(4*1.808%+15*1.705%+8*1.603%+4*1.479%)/31</f>
        <v>0.016628064516129033</v>
      </c>
      <c r="E322" s="78">
        <f>(C322/100+D322)/2</f>
        <v>0.021649193548387097</v>
      </c>
      <c r="F322" s="82"/>
    </row>
    <row r="323" spans="2:5" ht="12.75">
      <c r="B323" s="82" t="s">
        <v>11</v>
      </c>
      <c r="C323" s="106">
        <f>32/365*30</f>
        <v>2.6301369863013697</v>
      </c>
      <c r="D323" s="71">
        <f>(16*1.479%+15*1.356%)/31</f>
        <v>0.01419483870967742</v>
      </c>
      <c r="E323" s="78">
        <f>(C323/100+D323)/2</f>
        <v>0.020248104286345558</v>
      </c>
    </row>
    <row r="324" spans="2:5" ht="12.75">
      <c r="B324" s="82" t="s">
        <v>12</v>
      </c>
      <c r="C324" s="106">
        <f>32/365*30</f>
        <v>2.6301369863013697</v>
      </c>
      <c r="D324" s="71">
        <f>(11*1.356%+7*1.295%+12*1.274%)/30</f>
        <v>0.013089666666666666</v>
      </c>
      <c r="E324" s="78">
        <f>(C324/100+D324)/2</f>
        <v>0.01969551826484018</v>
      </c>
    </row>
    <row r="325" spans="2:5" ht="12.75">
      <c r="B325" s="82" t="s">
        <v>13</v>
      </c>
      <c r="C325" s="110">
        <f>(10*2.63+21*2.219)/31</f>
        <v>2.3515806451612904</v>
      </c>
      <c r="D325" s="71">
        <f>15.5%/365*30</f>
        <v>0.012739726027397261</v>
      </c>
      <c r="E325" s="78">
        <f aca="true" t="shared" si="17" ref="E325:E342">(C325/100+D325)/2</f>
        <v>0.018127766239505082</v>
      </c>
    </row>
    <row r="326" spans="2:5" ht="12.75">
      <c r="B326" s="82" t="s">
        <v>14</v>
      </c>
      <c r="C326" s="106">
        <f>27/365*30</f>
        <v>2.219178082191781</v>
      </c>
      <c r="D326" s="71">
        <f>(8*1.274%+21*1.233%+1*1.212%)/30</f>
        <v>0.012432333333333333</v>
      </c>
      <c r="E326" s="78">
        <f t="shared" si="17"/>
        <v>0.01731205707762557</v>
      </c>
    </row>
    <row r="327" spans="1:5" ht="12.75">
      <c r="A327" s="15"/>
      <c r="B327" s="15" t="s">
        <v>15</v>
      </c>
      <c r="C327" s="111">
        <f>(25*(27/365*30)+6*(25/365*30))/31</f>
        <v>2.1873619089703933</v>
      </c>
      <c r="D327" s="112">
        <f>14.75%/365*30</f>
        <v>0.012123287671232877</v>
      </c>
      <c r="E327" s="79">
        <f t="shared" si="17"/>
        <v>0.016998453380468403</v>
      </c>
    </row>
    <row r="328" spans="1:5" ht="12.75">
      <c r="A328" s="7">
        <v>2017</v>
      </c>
      <c r="B328" s="7" t="s">
        <v>4</v>
      </c>
      <c r="C328" s="113">
        <f>(26*(25/365*30)+5*(24/365*30))/31</f>
        <v>2.0415377817057</v>
      </c>
      <c r="D328" s="107">
        <f>14.75%/365*30</f>
        <v>0.012123287671232877</v>
      </c>
      <c r="E328" s="78">
        <f t="shared" si="17"/>
        <v>0.016269332744144938</v>
      </c>
    </row>
    <row r="329" spans="2:5" ht="12.75">
      <c r="B329" s="7" t="s">
        <v>5</v>
      </c>
      <c r="C329" s="106">
        <f aca="true" t="shared" si="18" ref="C329:C337">24/365*30</f>
        <v>1.9726027397260273</v>
      </c>
      <c r="D329" s="107">
        <f>14.75%/365*30</f>
        <v>0.012123287671232877</v>
      </c>
      <c r="E329" s="78">
        <f t="shared" si="17"/>
        <v>0.015924657534246576</v>
      </c>
    </row>
    <row r="330" spans="2:6" ht="12.75">
      <c r="B330" s="7" t="s">
        <v>6</v>
      </c>
      <c r="C330" s="106">
        <f t="shared" si="18"/>
        <v>1.9726027397260273</v>
      </c>
      <c r="D330" s="107">
        <f>14.75%/365*30</f>
        <v>0.012123287671232877</v>
      </c>
      <c r="E330" s="78">
        <f t="shared" si="17"/>
        <v>0.015924657534246576</v>
      </c>
      <c r="F330" s="8"/>
    </row>
    <row r="331" spans="2:6" ht="12.75">
      <c r="B331" s="7" t="s">
        <v>7</v>
      </c>
      <c r="C331" s="106">
        <f t="shared" si="18"/>
        <v>1.9726027397260273</v>
      </c>
      <c r="D331" s="71">
        <f>(16*1.212%+3*1.233%+5*1.253%+6*1.274%)/30</f>
        <v>0.012333333333333333</v>
      </c>
      <c r="E331" s="78">
        <f t="shared" si="17"/>
        <v>0.016029680365296804</v>
      </c>
      <c r="F331" s="8"/>
    </row>
    <row r="332" spans="2:6" ht="12.75">
      <c r="B332" s="82" t="s">
        <v>8</v>
      </c>
      <c r="C332" s="106">
        <f t="shared" si="18"/>
        <v>1.9726027397260273</v>
      </c>
      <c r="D332" s="65">
        <f>15.5%/365*30</f>
        <v>0.012739726027397261</v>
      </c>
      <c r="E332" s="78">
        <f t="shared" si="17"/>
        <v>0.016232876712328766</v>
      </c>
      <c r="F332" s="8"/>
    </row>
    <row r="333" spans="2:6" ht="12.75">
      <c r="B333" s="97" t="s">
        <v>9</v>
      </c>
      <c r="C333" s="106">
        <f t="shared" si="18"/>
        <v>1.9726027397260273</v>
      </c>
      <c r="D333" s="65">
        <f>15.5%/365*30</f>
        <v>0.012739726027397261</v>
      </c>
      <c r="E333" s="78">
        <f t="shared" si="17"/>
        <v>0.016232876712328766</v>
      </c>
      <c r="F333" s="8"/>
    </row>
    <row r="334" spans="2:6" ht="12.75">
      <c r="B334" s="82" t="s">
        <v>10</v>
      </c>
      <c r="C334" s="106">
        <f t="shared" si="18"/>
        <v>1.9726027397260273</v>
      </c>
      <c r="D334" s="65">
        <f>15.5%/365*30</f>
        <v>0.012739726027397261</v>
      </c>
      <c r="E334" s="78">
        <f t="shared" si="17"/>
        <v>0.016232876712328766</v>
      </c>
      <c r="F334" s="8"/>
    </row>
    <row r="335" spans="2:6" ht="12.75">
      <c r="B335" s="82" t="s">
        <v>11</v>
      </c>
      <c r="C335" s="106">
        <f t="shared" si="18"/>
        <v>1.9726027397260273</v>
      </c>
      <c r="D335" s="71">
        <f>(16*1.274%+15*1.356%)/31</f>
        <v>0.013136774193548388</v>
      </c>
      <c r="E335" s="78">
        <f t="shared" si="17"/>
        <v>0.01643140079540433</v>
      </c>
      <c r="F335" s="8"/>
    </row>
    <row r="336" spans="2:6" ht="12.75">
      <c r="B336" s="82" t="s">
        <v>12</v>
      </c>
      <c r="C336" s="106">
        <f t="shared" si="18"/>
        <v>1.9726027397260273</v>
      </c>
      <c r="D336" s="65">
        <f>16.5%/365*30</f>
        <v>0.013561643835616439</v>
      </c>
      <c r="E336" s="78">
        <f t="shared" si="17"/>
        <v>0.016643835616438354</v>
      </c>
      <c r="F336" s="8"/>
    </row>
    <row r="337" spans="2:6" ht="12.75">
      <c r="B337" s="82" t="s">
        <v>13</v>
      </c>
      <c r="C337" s="106">
        <f t="shared" si="18"/>
        <v>1.9726027397260273</v>
      </c>
      <c r="D337" s="71">
        <f>(10*1.356%+9*1.377%+12*1.459%)/31</f>
        <v>0.014019677419354839</v>
      </c>
      <c r="E337" s="78">
        <f t="shared" si="17"/>
        <v>0.016872852408307555</v>
      </c>
      <c r="F337" s="8"/>
    </row>
    <row r="338" spans="2:6" ht="12.75">
      <c r="B338" s="82" t="s">
        <v>14</v>
      </c>
      <c r="C338" s="113">
        <f>(1*(24/365*30)+29*(26/365*30))/30</f>
        <v>2.1315068493150684</v>
      </c>
      <c r="D338" s="71">
        <f>(16*1.459%+9*1.5%+5*1.562%)/30</f>
        <v>0.014884666666666666</v>
      </c>
      <c r="E338" s="78">
        <f t="shared" si="17"/>
        <v>0.018099867579908675</v>
      </c>
      <c r="F338" s="8"/>
    </row>
    <row r="339" spans="1:6" ht="12.75">
      <c r="A339" s="15"/>
      <c r="B339" s="15" t="s">
        <v>15</v>
      </c>
      <c r="C339" s="111">
        <f>(3*(26/365*30)+28*(27/365*30))/31</f>
        <v>2.2112240388864337</v>
      </c>
      <c r="D339" s="95">
        <f>(12*1.562%+19*1.603%)/31</f>
        <v>0.015871290322580646</v>
      </c>
      <c r="E339" s="79">
        <f t="shared" si="17"/>
        <v>0.018991765355722494</v>
      </c>
      <c r="F339" s="8"/>
    </row>
    <row r="340" spans="1:6" ht="12.75">
      <c r="A340" s="7">
        <v>2018</v>
      </c>
      <c r="B340" s="7" t="s">
        <v>4</v>
      </c>
      <c r="C340" s="106">
        <f>27/365*30</f>
        <v>2.219178082191781</v>
      </c>
      <c r="D340" s="71">
        <f>(16*1.603%+15*1.562%)/31</f>
        <v>0.015831612903225805</v>
      </c>
      <c r="E340" s="78">
        <f t="shared" si="17"/>
        <v>0.019011696862571807</v>
      </c>
      <c r="F340" s="8"/>
    </row>
    <row r="341" spans="2:6" ht="12.75">
      <c r="B341" s="7" t="s">
        <v>5</v>
      </c>
      <c r="C341" s="106">
        <f>27/365*30</f>
        <v>2.219178082191781</v>
      </c>
      <c r="D341" s="65">
        <f>19%/365*30</f>
        <v>0.015616438356164383</v>
      </c>
      <c r="E341" s="78">
        <f t="shared" si="17"/>
        <v>0.018904109589041096</v>
      </c>
      <c r="F341" s="8"/>
    </row>
    <row r="342" spans="2:6" ht="12.75">
      <c r="B342" s="7" t="s">
        <v>6</v>
      </c>
      <c r="C342" s="106">
        <f>27/365*30</f>
        <v>2.219178082191781</v>
      </c>
      <c r="D342" s="65">
        <f>19%/365*30</f>
        <v>0.015616438356164383</v>
      </c>
      <c r="E342" s="78">
        <f t="shared" si="17"/>
        <v>0.018904109589041096</v>
      </c>
      <c r="F342" s="8"/>
    </row>
    <row r="343" spans="2:6" ht="12.75">
      <c r="B343" s="7" t="s">
        <v>7</v>
      </c>
      <c r="C343" s="106">
        <f>27/365*30</f>
        <v>2.219178082191781</v>
      </c>
      <c r="D343" s="65">
        <f>19%/365*30</f>
        <v>0.015616438356164383</v>
      </c>
      <c r="E343" s="78">
        <f aca="true" t="shared" si="19" ref="E343:E348">(C343/100+D343)/2</f>
        <v>0.018904109589041096</v>
      </c>
      <c r="F343" s="8"/>
    </row>
    <row r="344" spans="2:6" ht="12.75">
      <c r="B344" s="82" t="s">
        <v>8</v>
      </c>
      <c r="C344" s="113">
        <f>(3*2.219+4*2.342+13*2.712+3*3+8*2.367)/31</f>
        <v>2.5553870967741936</v>
      </c>
      <c r="D344" s="71">
        <f>(7*1.562%+23*1.644%)/31</f>
        <v>0.015724516129032258</v>
      </c>
      <c r="E344" s="78">
        <f t="shared" si="19"/>
        <v>0.020639193548387096</v>
      </c>
      <c r="F344" s="8"/>
    </row>
    <row r="345" spans="2:6" ht="12.75">
      <c r="B345" s="97" t="s">
        <v>9</v>
      </c>
      <c r="C345" s="113">
        <f>(5*(28.7985/365*30)+25*(34.28/365*30))/30</f>
        <v>2.7424452054794517</v>
      </c>
      <c r="D345" s="65">
        <f aca="true" t="shared" si="20" ref="D345:D351">20%/365*30</f>
        <v>0.016438356164383564</v>
      </c>
      <c r="E345" s="78">
        <f t="shared" si="19"/>
        <v>0.02193140410958904</v>
      </c>
      <c r="F345" s="8"/>
    </row>
    <row r="346" spans="2:6" ht="12.75">
      <c r="B346" s="97" t="s">
        <v>10</v>
      </c>
      <c r="C346" s="113">
        <f>(4*2.817+27*3.004)/31</f>
        <v>2.9798709677419355</v>
      </c>
      <c r="D346" s="65">
        <f t="shared" si="20"/>
        <v>0.016438356164383564</v>
      </c>
      <c r="E346" s="78">
        <f t="shared" si="19"/>
        <v>0.02311853292090146</v>
      </c>
      <c r="F346" s="8"/>
    </row>
    <row r="347" spans="2:6" ht="12.75">
      <c r="B347" s="97" t="s">
        <v>11</v>
      </c>
      <c r="C347" s="113">
        <f>(2*3.004+29*3.33)/31</f>
        <v>3.308967741935484</v>
      </c>
      <c r="D347" s="65">
        <f t="shared" si="20"/>
        <v>0.016438356164383564</v>
      </c>
      <c r="E347" s="78">
        <f t="shared" si="19"/>
        <v>0.024764016791869202</v>
      </c>
      <c r="F347" s="8"/>
    </row>
    <row r="348" spans="2:6" ht="12.75">
      <c r="B348" s="82" t="s">
        <v>12</v>
      </c>
      <c r="C348" s="113">
        <f>(4*3.33+26*3.876)/30</f>
        <v>3.8032</v>
      </c>
      <c r="D348" s="65">
        <f t="shared" si="20"/>
        <v>0.016438356164383564</v>
      </c>
      <c r="E348" s="78">
        <f t="shared" si="19"/>
        <v>0.02723517808219178</v>
      </c>
      <c r="F348" s="8"/>
    </row>
    <row r="349" spans="2:6" ht="12.75">
      <c r="B349" s="82" t="s">
        <v>13</v>
      </c>
      <c r="C349" s="113">
        <f>(2*3.876+8*4.426+4.602+4*4.699+4.587+4.576+4.797+3*4.669+4.915+4.966+4.952+4.781+3*4.895+4.808+4.998+4.705)/31</f>
        <v>4.623709677419354</v>
      </c>
      <c r="D349" s="65">
        <f t="shared" si="20"/>
        <v>0.016438356164383564</v>
      </c>
      <c r="E349" s="78">
        <f aca="true" t="shared" si="21" ref="E349:E356">(C349/100+D349)/2</f>
        <v>0.03133772646928855</v>
      </c>
      <c r="F349" s="8"/>
    </row>
    <row r="350" spans="2:6" ht="12.75">
      <c r="B350" s="82" t="s">
        <v>14</v>
      </c>
      <c r="C350" s="113">
        <f>(4.802+3*4.952+2*4.808+4.982+4.787+3*4.823+7.16+7.155+7.062+7.14+4*7.089+7.237+7.171+7.114+3*7.078+7.011+7.021+6.991+2*6.888)/30</f>
        <v>6.264666666666667</v>
      </c>
      <c r="D350" s="65">
        <f t="shared" si="20"/>
        <v>0.016438356164383564</v>
      </c>
      <c r="E350" s="78">
        <f t="shared" si="21"/>
        <v>0.03954251141552512</v>
      </c>
      <c r="F350" s="8"/>
    </row>
    <row r="351" spans="1:6" ht="12.75">
      <c r="A351" s="15"/>
      <c r="B351" s="15" t="s">
        <v>15</v>
      </c>
      <c r="C351" s="111">
        <f>(2*6.88+7.119+4.814+5.091+4.993+3*5.054+4.857+4.949+4.85+4.857+3*4.82+4.734+4.894+4.715+4.789+5*4.666+4.783+4.74+4*4.887)/31</f>
        <v>5.046612903225808</v>
      </c>
      <c r="D351" s="51">
        <f t="shared" si="20"/>
        <v>0.016438356164383564</v>
      </c>
      <c r="E351" s="79">
        <f t="shared" si="21"/>
        <v>0.03345224259832082</v>
      </c>
      <c r="F351" s="8"/>
    </row>
    <row r="352" spans="1:6" ht="12.75">
      <c r="A352" s="7">
        <v>2019</v>
      </c>
      <c r="B352" s="7" t="s">
        <v>4</v>
      </c>
      <c r="C352" s="113">
        <f>(4.887+4.789+4.727+3*4.635+4.758+4.882+4.635+4.684+3*4.629+4.66+4.641+4.53+4.592+3*4.5+4.524+4.586+4.5+4.512+3*4.536+4.445+4.493+4.513+4.475)/31</f>
        <v>4.6042903225806455</v>
      </c>
      <c r="D352" s="71">
        <f>(2*1.64%+7*3.699%+13*3.616%+9*3.452%)/31</f>
        <v>0.03459645161290322</v>
      </c>
      <c r="E352" s="78">
        <f t="shared" si="21"/>
        <v>0.04031967741935484</v>
      </c>
      <c r="F352" s="8"/>
    </row>
    <row r="353" spans="2:6" ht="12.75">
      <c r="B353" s="7" t="s">
        <v>5</v>
      </c>
      <c r="C353" s="113">
        <f>(3*4.401+4.389+4.401+4.345+4.394+3*4.197+4.179+4.086+4.024+3.889+3*3.76+3.686+3.612+3.538+3.556+3*3.489+3.476+3.489+3.47+3.544)/28</f>
        <v>3.914964285714286</v>
      </c>
      <c r="D353" s="71">
        <f>(12*3.452%+3.041%+15*2.795%)/28</f>
        <v>0.03085357142857143</v>
      </c>
      <c r="E353" s="78">
        <f t="shared" si="21"/>
        <v>0.03500160714285715</v>
      </c>
      <c r="F353" s="8"/>
    </row>
    <row r="354" spans="2:6" ht="12.75">
      <c r="B354" s="7" t="s">
        <v>6</v>
      </c>
      <c r="C354" s="113">
        <f>(5*3.605+3.55+3.686+3*3.63+3.661+3.612+3.605+3.679+3*3.858+3.901+4.024+4.019+4.074+3*4.29+4.167+4.253+4.148+4.265+3*4.241)/31</f>
        <v>3.8943870967741936</v>
      </c>
      <c r="D354" s="71">
        <f>(7*2.795%+6*2.959%+8*3.082%+6*3.205%+4*3.37%)/31</f>
        <v>0.03054354838709678</v>
      </c>
      <c r="E354" s="121">
        <f t="shared" si="21"/>
        <v>0.034743709677419354</v>
      </c>
      <c r="F354" s="8"/>
    </row>
    <row r="355" spans="2:6" ht="12.75">
      <c r="B355" s="7" t="s">
        <v>7</v>
      </c>
      <c r="C355" s="123">
        <f>(2*4.357+4.352+4.265+3*4.468+4.505+4.549+4.783*2+4.66*3+4.703+4.813+4.715*5+4.813+4.746+4.764+4.845+4.746*4+4.887)/30</f>
        <v>4.648833333333333</v>
      </c>
      <c r="D355" s="68">
        <f>(9*3.616%+21*3.945%)/30</f>
        <v>0.038463000000000004</v>
      </c>
      <c r="E355" s="121">
        <f t="shared" si="21"/>
        <v>0.04247566666666667</v>
      </c>
      <c r="F355" s="8"/>
    </row>
    <row r="356" spans="2:6" ht="12.75">
      <c r="B356" s="82" t="s">
        <v>8</v>
      </c>
      <c r="C356" s="123">
        <f>(4.887+4.795+4.863*3+4.857+4.931+5.264+4.968+5.141*3+5.128+5.257+5.128+5.178+5.116*3+5.183+5.282+5.19+5.146+5.122*3+5.294*5)/31</f>
        <v>5.109354838709678</v>
      </c>
      <c r="D356" s="68">
        <f>(31*4.11%)/31</f>
        <v>0.041100000000000005</v>
      </c>
      <c r="E356" s="121">
        <f t="shared" si="21"/>
        <v>0.04609677419354839</v>
      </c>
      <c r="F356" s="8"/>
    </row>
    <row r="357" spans="2:5" ht="12.75">
      <c r="B357" s="97" t="s">
        <v>9</v>
      </c>
      <c r="C357" s="123">
        <f>(5.227*2+5.19*2+5.208+5.196+5.227*3+5.22+5.257+5.196+5.22+5.196*4+5.141+5.159*2+5.109*3+5.06+5.035+5.011+5.005+4.924*3)/30</f>
        <v>5.142166666666666</v>
      </c>
      <c r="D357" s="68">
        <f>(4.11%*18+4.192%*12)/30</f>
        <v>0.041428000000000006</v>
      </c>
      <c r="E357" s="121">
        <f aca="true" t="shared" si="22" ref="E357:E362">(C357/100+D357)/2</f>
        <v>0.04642483333333333</v>
      </c>
    </row>
    <row r="358" spans="2:5" ht="12.75">
      <c r="B358" s="97" t="s">
        <v>10</v>
      </c>
      <c r="C358" s="123">
        <f>'TASAS ACTIVAS'!J50</f>
        <v>4.744967741935484</v>
      </c>
      <c r="D358" s="68">
        <f>'TASA PASIVA'!D177</f>
        <v>0.041917808219178086</v>
      </c>
      <c r="E358" s="121">
        <f t="shared" si="22"/>
        <v>0.04468374281926646</v>
      </c>
    </row>
    <row r="359" spans="2:5" ht="12.75">
      <c r="B359" s="97" t="s">
        <v>11</v>
      </c>
      <c r="C359" s="123">
        <f>'TASAS ACTIVAS'!J51</f>
        <v>5.241903225806452</v>
      </c>
      <c r="D359" s="68">
        <f>'TASA PASIVA'!E179</f>
        <v>0.034550000000000004</v>
      </c>
      <c r="E359" s="121">
        <f t="shared" si="22"/>
        <v>0.043484516129032265</v>
      </c>
    </row>
    <row r="360" spans="2:5" ht="12.75">
      <c r="B360" s="97" t="s">
        <v>12</v>
      </c>
      <c r="C360" s="123">
        <f>'TASAS ACTIVAS'!J52</f>
        <v>5.8858</v>
      </c>
      <c r="D360" s="68">
        <f>'TASA PASIVA'!D179</f>
        <v>0.03287671232876713</v>
      </c>
      <c r="E360" s="121">
        <f t="shared" si="22"/>
        <v>0.04586735616438356</v>
      </c>
    </row>
    <row r="361" spans="2:5" ht="12.75">
      <c r="B361" s="97" t="s">
        <v>13</v>
      </c>
      <c r="C361" s="123">
        <f>'TASAS ACTIVAS'!J53</f>
        <v>5.640193548387097</v>
      </c>
      <c r="D361" s="68">
        <f>'TASA PASIVA'!D179</f>
        <v>0.03287671232876713</v>
      </c>
      <c r="E361" s="121">
        <f t="shared" si="22"/>
        <v>0.04463932390631904</v>
      </c>
    </row>
    <row r="362" spans="2:5" ht="12.75">
      <c r="B362" s="97" t="s">
        <v>14</v>
      </c>
      <c r="C362" s="123">
        <f>'TASAS ACTIVAS'!J54</f>
        <v>4.708233333333334</v>
      </c>
      <c r="D362" s="68">
        <f>'TASA PASIVA'!E180</f>
        <v>0.031015666666666664</v>
      </c>
      <c r="E362" s="121">
        <f t="shared" si="22"/>
        <v>0.039049</v>
      </c>
    </row>
    <row r="363" spans="2:5" ht="12.75">
      <c r="B363" s="97" t="s">
        <v>15</v>
      </c>
      <c r="C363" s="123">
        <f>'TASAS ACTIVAS'!J55</f>
        <v>4.227225806451612</v>
      </c>
      <c r="D363" s="68">
        <f>'TASA PASIVA'!E183</f>
        <v>0.027945483870967746</v>
      </c>
      <c r="E363" s="121">
        <f>(C363/100+D363)/2</f>
        <v>0.035108870967741936</v>
      </c>
    </row>
    <row r="364" spans="1:5" ht="12.75">
      <c r="A364" s="7">
        <v>2020</v>
      </c>
      <c r="B364" s="7" t="s">
        <v>4</v>
      </c>
      <c r="C364" s="123">
        <f>'TASAS ACTIVAS'!K44</f>
        <v>3.724709677419355</v>
      </c>
      <c r="D364" s="68">
        <f>'TASA PASIVA'!E184</f>
        <v>0.02258677419354839</v>
      </c>
      <c r="E364" s="121">
        <f>(C364/100+D364)/2</f>
        <v>0.02991693548387097</v>
      </c>
    </row>
    <row r="365" spans="2:5" ht="12.75">
      <c r="B365" s="8" t="s">
        <v>5</v>
      </c>
      <c r="C365" s="125"/>
      <c r="D365" s="126"/>
      <c r="E365" s="127"/>
    </row>
    <row r="366" spans="2:5" ht="12.75">
      <c r="B366" s="97" t="s">
        <v>6</v>
      </c>
      <c r="C366" s="125"/>
      <c r="D366" s="126"/>
      <c r="E366" s="127"/>
    </row>
    <row r="367" spans="2:5" ht="12.75">
      <c r="B367" s="82"/>
      <c r="C367" s="9"/>
      <c r="D367" s="65"/>
      <c r="E367" s="76"/>
    </row>
    <row r="368" spans="1:3" ht="12.75">
      <c r="A368" s="83"/>
      <c r="B368" s="85" t="s">
        <v>50</v>
      </c>
      <c r="C368" s="96">
        <f>'TASA PASIVA'!C186</f>
        <v>43867</v>
      </c>
    </row>
  </sheetData>
  <sheetProtection/>
  <mergeCells count="1">
    <mergeCell ref="C14:D14"/>
  </mergeCells>
  <printOptions/>
  <pageMargins left="0.7874015748031497" right="0.7874015748031497" top="0.2755905511811024" bottom="0.7086614173228347" header="0" footer="0"/>
  <pageSetup horizontalDpi="600" verticalDpi="600" orientation="portrait" paperSize="9" r:id="rId2"/>
  <headerFooter alignWithMargins="0">
    <oddFooter>&amp;L&amp;F&amp;CPágina &amp;P&amp;RConstrucción y Mantenimiento:
CPN Cristian G. Cuello
Comisión Actuación Judicial - CGCE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Sub-Comisión de Pericias / C.G.C.E.  S.F.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G. Cuello</dc:creator>
  <cp:keywords/>
  <dc:description/>
  <cp:lastModifiedBy>CGC</cp:lastModifiedBy>
  <cp:lastPrinted>2019-09-06T12:36:56Z</cp:lastPrinted>
  <dcterms:created xsi:type="dcterms:W3CDTF">2006-07-26T15:05:24Z</dcterms:created>
  <dcterms:modified xsi:type="dcterms:W3CDTF">2020-02-06T15:56:07Z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